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<sst xmlns="http://schemas.openxmlformats.org/spreadsheetml/2006/main" count="215" uniqueCount="98">
  <si>
    <t>Relevés floristiques aquatiques - IBMR</t>
  </si>
  <si>
    <t>modèle Irstea-GIS</t>
  </si>
  <si>
    <t>SAGE</t>
  </si>
  <si>
    <t>L.BOURGOIN M. SCHNEIDER</t>
  </si>
  <si>
    <t>IRANCE</t>
  </si>
  <si>
    <t>IRANCE A MEZERIAT</t>
  </si>
  <si>
    <t>06048540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</si>
  <si>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</si>
  <si>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</si>
  <si>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</si>
  <si>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</si>
  <si>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</si>
  <si>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</si>
  <si>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</si>
  <si>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</si>
  <si>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</si>
  <si>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</si>
  <si>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</si>
  <si>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</si>
  <si>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ch.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</si>
  <si>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</si>
  <si>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</si>
  <si>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</si>
  <si>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</si>
  <si>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</si>
  <si>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</si>
  <si>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</si>
  <si>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</si>
  <si>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</si>
  <si>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</si>
  <si>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</si>
  <si>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</si>
  <si>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</si>
  <si>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</si>
  <si>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</si>
  <si>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</si>
  <si>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</si>
  <si>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</si>
  <si>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</si>
  <si>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</si>
  <si>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</si>
  <si>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</si>
  <si>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</si>
  <si>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</si>
  <si>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</si>
  <si>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</si>
  <si>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</si>
  <si>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</si>
  <si>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</si>
  <si>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</si>
  <si>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</si>
  <si>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</si>
  <si>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</si>
  <si>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</si>
  <si>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</si>
  <si>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</si>
  <si>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</si>
  <si>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</si>
  <si>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</si>
  <si>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</si>
  <si>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</si>
  <si>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</si>
  <si>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</si>
  <si>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</si>
  <si>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</si>
  <si>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</si>
  <si>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</si>
  <si>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</si>
  <si>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</si>
  <si>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</si>
  <si>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</si>
  <si>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</si>
  <si>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</si>
  <si>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</si>
  <si>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</si>
  <si>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</si>
  <si>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</si>
  <si>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</si>
  <si>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</si>
  <si>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</si>
  <si>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</si>
  <si>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</si>
  <si>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ENCSPX</t>
  </si>
  <si>
    <t>OEDSPX</t>
  </si>
  <si>
    <t>STISPX</t>
  </si>
  <si>
    <t>ULOSPX</t>
  </si>
  <si>
    <t>MYRSPI</t>
  </si>
  <si>
    <t>NUPLUT</t>
  </si>
  <si>
    <t>POTCRI</t>
  </si>
  <si>
    <t>SPAERE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</si>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</sst>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IRMEZ_08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B14" sqref="AB14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42163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10.318181818181818</v>
      </c>
      <c r="N5" s="50"/>
      <c r="O5" s="51" t="s">
        <v>16</v>
      </c>
      <c r="P5" s="52">
        <v>8.5625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50</v>
      </c>
      <c r="C7" s="68">
        <v>50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9.333333333333334</v>
      </c>
      <c r="P8" s="85">
        <f>IF(ISERROR(AVERAGE(K23:K82)),"  ",AVERAGE(K23:K82))</f>
        <v>1.5555555555555556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8.55</v>
      </c>
      <c r="C9" s="88">
        <v>1.07</v>
      </c>
      <c r="D9" s="89"/>
      <c r="E9" s="89"/>
      <c r="F9" s="90">
        <f>($B9*$B$7+$C9*$C$7)/100</f>
        <v>4.8100000000000005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2.9059326290271157</v>
      </c>
      <c r="P9" s="85">
        <f>IF(ISERROR(STDEVP(K23:K82)),"  ",STDEVP(K23:K82))</f>
        <v>0.49690399499995325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/>
      <c r="C10" s="96"/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4.04</v>
      </c>
      <c r="C12" s="114">
        <v>0.05</v>
      </c>
      <c r="D12" s="89"/>
      <c r="E12" s="89"/>
      <c r="F12" s="106">
        <f>($B12*$B$7+$C12*$C$7)/100</f>
        <v>2.045</v>
      </c>
      <c r="G12" s="107"/>
      <c r="H12" s="56"/>
      <c r="I12" s="5"/>
      <c r="J12" s="108" t="s">
        <v>38</v>
      </c>
      <c r="K12" s="109"/>
      <c r="L12" s="110">
        <f>COUNTIF($G$23:$G$82,"=ALG")</f>
        <v>6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0</v>
      </c>
      <c r="M13" s="111"/>
      <c r="N13" s="120" t="s">
        <v>41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9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4.51</v>
      </c>
      <c r="C15" s="128">
        <v>1.02</v>
      </c>
      <c r="D15" s="89"/>
      <c r="E15" s="89"/>
      <c r="F15" s="106">
        <f>($B15*$B$7+$C15*$C$7)/100</f>
        <v>2.765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4</v>
      </c>
      <c r="M15" s="111"/>
      <c r="N15" s="120" t="s">
        <v>47</v>
      </c>
      <c r="O15" s="121">
        <f>COUNTIF(K23:K82,"=1")</f>
        <v>4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>
        <v>4.5</v>
      </c>
      <c r="C16" s="105"/>
      <c r="D16" s="89"/>
      <c r="E16" s="89"/>
      <c r="F16" s="129"/>
      <c r="G16" s="130">
        <f>($B16*$B$7+$C16*$C$7)/100</f>
        <v>2.25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5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4.01</v>
      </c>
      <c r="C17" s="114">
        <v>1.07</v>
      </c>
      <c r="D17" s="89"/>
      <c r="E17" s="89"/>
      <c r="F17" s="133"/>
      <c r="G17" s="134">
        <f>($B17*$B$7+$C17*$C$7)/100</f>
        <v>2.54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4.8100000000000005</v>
      </c>
      <c r="G19" s="157">
        <f>SUM(G16:G18)</f>
        <v>4.79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8.549999999999999</v>
      </c>
      <c r="C20" s="167">
        <f>SUM(C23:C62)</f>
        <v>1.07</v>
      </c>
      <c r="D20" s="168"/>
      <c r="E20" s="169" t="s">
        <v>54</v>
      </c>
      <c r="F20" s="170">
        <f>($B20*$B$7+$C20*$C$7)/100</f>
        <v>4.81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4.2749999999999995</v>
      </c>
      <c r="C21" s="178">
        <f>C20*C7/100</f>
        <v>0.535</v>
      </c>
      <c r="D21" s="179" t="s">
        <v>58</v>
      </c>
      <c r="E21" s="180"/>
      <c r="F21" s="181">
        <f>B21+C21</f>
        <v>4.81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0.02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0.015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0.015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0.01</v>
      </c>
      <c r="C24" s="226">
        <v>0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Encyonema sp.</v>
      </c>
      <c r="E24" s="228" t="e">
        <f>IF(D24="",,VLOOKUP(D24,D$22:D23,1,0))</f>
        <v>#N/A</v>
      </c>
      <c r="F24" s="229">
        <f t="shared" si="0"/>
        <v>0.005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 t="str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nc</v>
      </c>
      <c r="K24" s="232" t="str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nc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Encyonema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9378</v>
      </c>
      <c r="R24" s="219">
        <f t="shared" si="2"/>
        <v>0.005</v>
      </c>
      <c r="S24" s="220">
        <f t="shared" si="3"/>
        <v>1</v>
      </c>
      <c r="T24" s="220">
        <f t="shared" si="4"/>
        <v>0</v>
      </c>
      <c r="U24" s="220">
        <f t="shared" si="5"/>
        <v>0</v>
      </c>
      <c r="V24" s="236">
        <f t="shared" si="6"/>
        <v>0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ENCSPX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45</v>
      </c>
    </row>
    <row r="25" spans="1:26" ht="12.75">
      <c r="A25" s="224" t="s">
        <v>16</v>
      </c>
      <c r="B25" s="225">
        <v>4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Hildenbrandia sp.</v>
      </c>
      <c r="E25" s="228" t="e">
        <f>IF(D25="",,VLOOKUP(D25,D$22:D24,1,0))</f>
        <v>#N/A</v>
      </c>
      <c r="F25" s="229">
        <f t="shared" si="0"/>
        <v>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15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2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Hildenbrandia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1157</v>
      </c>
      <c r="R25" s="219">
        <f t="shared" si="2"/>
        <v>2</v>
      </c>
      <c r="S25" s="220">
        <f t="shared" si="3"/>
        <v>3</v>
      </c>
      <c r="T25" s="220">
        <f t="shared" si="4"/>
        <v>45</v>
      </c>
      <c r="U25" s="220">
        <f t="shared" si="5"/>
        <v>90</v>
      </c>
      <c r="V25" s="236">
        <f t="shared" si="6"/>
        <v>6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HILSPX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53</v>
      </c>
    </row>
    <row r="26" spans="1:26" ht="12.75">
      <c r="A26" s="224" t="s">
        <v>83</v>
      </c>
      <c r="B26" s="225">
        <v>0</v>
      </c>
      <c r="C26" s="226">
        <v>0.01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Oedogonium sp.</v>
      </c>
      <c r="E26" s="228" t="e">
        <f>IF(D26="",,VLOOKUP(D26,D$22:D25,1,0))</f>
        <v>#N/A</v>
      </c>
      <c r="F26" s="229">
        <f t="shared" si="0"/>
        <v>0.005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Oedogonium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1134</v>
      </c>
      <c r="R26" s="219">
        <f t="shared" si="2"/>
        <v>0.005</v>
      </c>
      <c r="S26" s="220">
        <f t="shared" si="3"/>
        <v>1</v>
      </c>
      <c r="T26" s="220">
        <f t="shared" si="4"/>
        <v>6</v>
      </c>
      <c r="U26" s="220">
        <f t="shared" si="5"/>
        <v>12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OEDSPX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85</v>
      </c>
    </row>
    <row r="27" spans="1:26" ht="12.75">
      <c r="A27" s="224" t="s">
        <v>84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Stigeoclonium sp. (excep. S. tenue)</v>
      </c>
      <c r="E27" s="228" t="e">
        <f>IF(D27="",,VLOOKUP(D27,D$22:D26,1,0))</f>
        <v>#N/A</v>
      </c>
      <c r="F27" s="229">
        <f t="shared" si="0"/>
        <v>0.005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Stigeoclonium sp. (excep. S. tenue)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1119</v>
      </c>
      <c r="R27" s="219">
        <f t="shared" si="2"/>
        <v>0.005</v>
      </c>
      <c r="S27" s="220">
        <f t="shared" si="3"/>
        <v>1</v>
      </c>
      <c r="T27" s="220">
        <f t="shared" si="4"/>
        <v>13</v>
      </c>
      <c r="U27" s="220">
        <f t="shared" si="5"/>
        <v>26</v>
      </c>
      <c r="V27" s="236">
        <f t="shared" si="6"/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STISPX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104</v>
      </c>
    </row>
    <row r="28" spans="1:26" ht="12.75">
      <c r="A28" s="224" t="s">
        <v>85</v>
      </c>
      <c r="B28" s="225">
        <v>0.01</v>
      </c>
      <c r="C28" s="226">
        <v>0.02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Ulothrix sp.</v>
      </c>
      <c r="E28" s="228" t="e">
        <f>IF(D28="",,VLOOKUP(D28,D$22:D27,1,0))</f>
        <v>#N/A</v>
      </c>
      <c r="F28" s="229">
        <f t="shared" si="0"/>
        <v>0.015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Ulothrix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1142</v>
      </c>
      <c r="R28" s="219">
        <f t="shared" si="2"/>
        <v>0.015</v>
      </c>
      <c r="S28" s="220">
        <f t="shared" si="3"/>
        <v>1</v>
      </c>
      <c r="T28" s="220">
        <f t="shared" si="4"/>
        <v>10</v>
      </c>
      <c r="U28" s="220">
        <f t="shared" si="5"/>
        <v>10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ULOSPX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116</v>
      </c>
    </row>
    <row r="29" spans="1:26" ht="12.75">
      <c r="A29" s="224" t="s">
        <v>86</v>
      </c>
      <c r="B29" s="225">
        <v>0.01</v>
      </c>
      <c r="C29" s="226">
        <v>0.5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Myriophyllum spicatum</v>
      </c>
      <c r="E29" s="228" t="e">
        <f>IF(D29="",,VLOOKUP(D29,D$22:D28,1,0))</f>
        <v>#N/A</v>
      </c>
      <c r="F29" s="229">
        <f t="shared" si="0"/>
        <v>0.255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PHy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7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8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Myriophyllum spicatum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1778</v>
      </c>
      <c r="R29" s="219">
        <f t="shared" si="2"/>
        <v>0.255</v>
      </c>
      <c r="S29" s="220">
        <f t="shared" si="3"/>
        <v>2</v>
      </c>
      <c r="T29" s="220">
        <f t="shared" si="4"/>
        <v>16</v>
      </c>
      <c r="U29" s="220">
        <f t="shared" si="5"/>
        <v>32</v>
      </c>
      <c r="V29" s="236">
        <f t="shared" si="6"/>
        <v>4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MYRSPI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486</v>
      </c>
    </row>
    <row r="30" spans="1:26" ht="12.75">
      <c r="A30" s="224" t="s">
        <v>87</v>
      </c>
      <c r="B30" s="225">
        <v>4.5</v>
      </c>
      <c r="C30" s="226">
        <v>0.5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Nuphar lutea</v>
      </c>
      <c r="E30" s="228" t="e">
        <f>IF(D30="",,VLOOKUP(D30,D$22:D29,1,0))</f>
        <v>#N/A</v>
      </c>
      <c r="F30" s="229">
        <f t="shared" si="0"/>
        <v>2.5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PHy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7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9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Nuphar lutea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1839</v>
      </c>
      <c r="R30" s="219">
        <f t="shared" si="2"/>
        <v>2.5</v>
      </c>
      <c r="S30" s="220">
        <f t="shared" si="3"/>
        <v>3</v>
      </c>
      <c r="T30" s="220">
        <f t="shared" si="4"/>
        <v>27</v>
      </c>
      <c r="U30" s="220">
        <f t="shared" si="5"/>
        <v>27</v>
      </c>
      <c r="V30" s="236">
        <f t="shared" si="6"/>
        <v>3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NUPLUT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499</v>
      </c>
    </row>
    <row r="31" spans="1:26" ht="12.75">
      <c r="A31" s="224" t="s">
        <v>88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Potamogeton crispus</v>
      </c>
      <c r="E31" s="228" t="e">
        <f>IF(D31="",,VLOOKUP(D31,D$22:D30,1,0))</f>
        <v>#N/A</v>
      </c>
      <c r="F31" s="229">
        <f t="shared" si="0"/>
        <v>0.005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PHy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7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7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2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Potamogeton crispus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1645</v>
      </c>
      <c r="R31" s="219">
        <f t="shared" si="2"/>
        <v>0.005</v>
      </c>
      <c r="S31" s="220">
        <f t="shared" si="3"/>
        <v>1</v>
      </c>
      <c r="T31" s="220">
        <f t="shared" si="4"/>
        <v>7</v>
      </c>
      <c r="U31" s="220">
        <f t="shared" si="5"/>
        <v>14</v>
      </c>
      <c r="V31" s="236">
        <f t="shared" si="6"/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POTCRI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522</v>
      </c>
    </row>
    <row r="32" spans="1:26" ht="12.75">
      <c r="A32" s="224" t="s">
        <v>89</v>
      </c>
      <c r="B32" s="225">
        <v>0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Sparganium erectum</v>
      </c>
      <c r="E32" s="228" t="e">
        <f>IF(D32="",,VLOOKUP(D32,D$22:D31,1,0))</f>
        <v>#N/A</v>
      </c>
      <c r="F32" s="229">
        <f t="shared" si="0"/>
        <v>0.005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PHe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8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10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1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Sparganium erectum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1671</v>
      </c>
      <c r="R32" s="219">
        <f t="shared" si="2"/>
        <v>0.005</v>
      </c>
      <c r="S32" s="220">
        <f t="shared" si="3"/>
        <v>1</v>
      </c>
      <c r="T32" s="220">
        <f t="shared" si="4"/>
        <v>10</v>
      </c>
      <c r="U32" s="220">
        <f t="shared" si="5"/>
        <v>10</v>
      </c>
      <c r="V32" s="236">
        <f t="shared" si="6"/>
        <v>1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SPAERE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732</v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4.81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22</v>
      </c>
      <c r="W83" s="220"/>
      <c r="X83" s="258"/>
      <c r="Y83" s="258"/>
      <c r="Z83" s="259"/>
    </row>
    <row r="84" spans="1:26" ht="12.75" hidden="1">
      <c r="A84" s="253" t="str">
        <f>A3</f>
        <v>IRANCE</v>
      </c>
      <c r="B84" s="187" t="str">
        <f>C3</f>
        <v>IRANCE A MEZERIAT</v>
      </c>
      <c r="C84" s="260" t="str">
        <f>A4</f>
        <v>(Date)</v>
      </c>
      <c r="D84" s="261">
        <f>IF(OR(ISERROR(SUM($U$23:$U$82)/SUM($V$23:$V$82)),F7&lt;&gt;100),-1,SUM($U$23:$U$82)/SUM($V$23:$V$82))</f>
        <v>10.318181818181818</v>
      </c>
      <c r="E84" s="262">
        <f>O13</f>
        <v>10</v>
      </c>
      <c r="F84" s="187">
        <f>O14</f>
        <v>9</v>
      </c>
      <c r="G84" s="187">
        <f>O15</f>
        <v>4</v>
      </c>
      <c r="H84" s="187">
        <f>O16</f>
        <v>5</v>
      </c>
      <c r="I84" s="187">
        <f>O17</f>
        <v>0</v>
      </c>
      <c r="J84" s="263">
        <f>O8</f>
        <v>9.333333333333334</v>
      </c>
      <c r="K84" s="264">
        <f>O9</f>
        <v>2.9059326290271157</v>
      </c>
      <c r="L84" s="265">
        <f>O10</f>
        <v>6</v>
      </c>
      <c r="M84" s="265">
        <f>O11</f>
        <v>15</v>
      </c>
      <c r="N84" s="264">
        <f>P8</f>
        <v>1.5555555555555556</v>
      </c>
      <c r="O84" s="264">
        <f>P9</f>
        <v>0.49690399499995325</v>
      </c>
      <c r="P84" s="265">
        <f>P10</f>
        <v>1</v>
      </c>
      <c r="Q84" s="265">
        <f>P11</f>
        <v>2</v>
      </c>
      <c r="R84" s="265">
        <f>F21</f>
        <v>4.81</v>
      </c>
      <c r="S84" s="265">
        <f>L11</f>
        <v>0</v>
      </c>
      <c r="T84" s="265">
        <f>L12</f>
        <v>6</v>
      </c>
      <c r="U84" s="265">
        <f>L13</f>
        <v>0</v>
      </c>
      <c r="V84" s="266">
        <f>L15</f>
        <v>4</v>
      </c>
      <c r="W84" s="267">
        <f>L15</f>
        <v>4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45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90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8.5625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HILSPX</v>
      </c>
      <c r="U91" s="5">
        <f>IF(ISERROR(MATCH($T$93,'[1]liste reference'!$A$6:$A$1174,0)),MATCH($T$93,'[1]liste reference'!$B$6:$B$1174,0),(MATCH($T$93,'[1]liste reference'!$A$6:$A$1174,0)))</f>
        <v>53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3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HILSPX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2015-12-28T14:17:00Z</dcterms:created>
  <dcterms:modified xsi:type="dcterms:W3CDTF">2015-12-28T14:17:04Z</dcterms:modified>
  <cp:category/>
  <cp:version/>
  <cp:contentType/>
  <cp:contentStatus/>
</cp:coreProperties>
</file>