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<sst xmlns="http://schemas.openxmlformats.org/spreadsheetml/2006/main" count="218" uniqueCount="100">
  <si>
    <t>Relevés floristiques aquatiques - IBMR</t>
  </si>
  <si>
    <t xml:space="preserve">Formulaire modèle GIS Macrophytes v 3.1.1 - janvier 2013  </t>
  </si>
  <si>
    <t>SAGE</t>
  </si>
  <si>
    <t>LBOURGOIN CBERNARD</t>
  </si>
  <si>
    <t>conforme AFNOR T90-395 oct. 2003</t>
  </si>
  <si>
    <t>ROCHEFORT</t>
  </si>
  <si>
    <t>Rochefort aux Ardillats</t>
  </si>
  <si>
    <t>06051350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</si>
  <si>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</si>
  <si>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</si>
  <si>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</si>
  <si>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</si>
  <si>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</si>
  <si>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</si>
  <si>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</si>
  <si>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</si>
  <si>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</si>
  <si>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</si>
  <si>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</si>
  <si>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</si>
  <si>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</si>
  <si>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</si>
  <si>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</si>
  <si>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</si>
  <si>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</si>
  <si>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</si>
  <si>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</si>
  <si>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</si>
  <si>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</si>
  <si>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</si>
  <si>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</si>
  <si>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</si>
  <si>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</si>
  <si>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</si>
  <si>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</si>
  <si>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</si>
  <si>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</si>
  <si>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</si>
  <si>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</si>
  <si>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</si>
  <si>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</si>
  <si>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</si>
  <si>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</si>
  <si>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</si>
  <si>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</si>
  <si>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</si>
  <si>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</si>
  <si>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</si>
  <si>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</si>
  <si>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</si>
  <si>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</si>
  <si>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</si>
  <si>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</si>
  <si>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</si>
  <si>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</si>
  <si>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</si>
  <si>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</si>
  <si>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</si>
  <si>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</si>
  <si>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</si>
  <si>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</si>
  <si>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</si>
  <si>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</si>
  <si>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</si>
  <si>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</si>
  <si>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</si>
  <si>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</si>
  <si>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</si>
  <si>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</si>
  <si>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</si>
  <si>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</si>
  <si>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</si>
  <si>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</si>
  <si>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</si>
  <si>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</si>
  <si>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</si>
  <si>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</si>
  <si>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</si>
  <si>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HILSPX</t>
  </si>
  <si>
    <t>NOSSPX</t>
  </si>
  <si>
    <t>PHOSPX</t>
  </si>
  <si>
    <t>DERWEB</t>
  </si>
  <si>
    <t>CHIPOL</t>
  </si>
  <si>
    <t>CRAFIL</t>
  </si>
  <si>
    <t>GLYFLU</t>
  </si>
  <si>
    <t>JUNEFF</t>
  </si>
  <si>
    <t>LYCEUR</t>
  </si>
  <si>
    <t>MENAQU</t>
  </si>
  <si>
    <t>SCISYL</t>
  </si>
  <si>
    <t>newcod</t>
  </si>
  <si>
    <t>Paralemanea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</si>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</sst>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2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2" fontId="0" fillId="4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3" borderId="54" xfId="0" applyNumberFormat="1" applyFont="1" applyFill="1" applyBorder="1" applyAlignment="1" applyProtection="1">
      <alignment horizontal="center"/>
      <protection locked="0"/>
    </xf>
    <xf numFmtId="2" fontId="0" fillId="43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3" borderId="65" xfId="0" applyNumberFormat="1" applyFont="1" applyFill="1" applyBorder="1" applyAlignment="1" applyProtection="1">
      <alignment horizontal="center"/>
      <protection locked="0"/>
    </xf>
    <xf numFmtId="2" fontId="0" fillId="43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OCAR_18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7">
      <selection activeCell="W39" sqref="W39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41473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13.806451612903226</v>
      </c>
      <c r="M5" s="52"/>
      <c r="N5" s="53" t="s">
        <v>16</v>
      </c>
      <c r="O5" s="54">
        <v>14.074074074074074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13.181818181818182</v>
      </c>
      <c r="O8" s="84">
        <f>IF(ISERROR(AVERAGE(J23:J82)),"      -",AVERAGE(J23:J82))</f>
        <v>1.8181818181818181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27.51</v>
      </c>
      <c r="C9" s="87">
        <v>11.36</v>
      </c>
      <c r="D9" s="88"/>
      <c r="E9" s="88"/>
      <c r="F9" s="89">
        <f aca="true" t="shared" si="0" ref="F9:F15">($B9*$B$7+$C9*$C$7)/100</f>
        <v>24.28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2.5873180855923104</v>
      </c>
      <c r="O9" s="84">
        <f>IF(ISERROR(STDEVP(J23:J82)),"      -",STDEVP(J23:J82))</f>
        <v>0.7158188976374373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9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18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2.3</v>
      </c>
      <c r="C12" s="120">
        <v>1.01</v>
      </c>
      <c r="D12" s="111"/>
      <c r="E12" s="111"/>
      <c r="F12" s="112">
        <f t="shared" si="0"/>
        <v>2.042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25.21</v>
      </c>
      <c r="C13" s="120">
        <v>10.1</v>
      </c>
      <c r="D13" s="111"/>
      <c r="E13" s="111"/>
      <c r="F13" s="112">
        <f t="shared" si="0"/>
        <v>22.188000000000002</v>
      </c>
      <c r="G13" s="121"/>
      <c r="H13" s="67"/>
      <c r="I13" s="129" t="s">
        <v>40</v>
      </c>
      <c r="J13" s="123"/>
      <c r="K13" s="116">
        <f>COUNTIF($G$23:$G$82,"=BRm")+COUNTIF($G$23:$G$82,"=BRh")</f>
        <v>3</v>
      </c>
      <c r="L13" s="117"/>
      <c r="M13" s="130" t="s">
        <v>41</v>
      </c>
      <c r="N13" s="131">
        <f>COUNTIF(F23:F82,"&gt;0")</f>
        <v>13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>
        <v>0.01</v>
      </c>
      <c r="D14" s="111"/>
      <c r="E14" s="111"/>
      <c r="F14" s="112">
        <f t="shared" si="0"/>
        <v>0.002</v>
      </c>
      <c r="G14" s="121"/>
      <c r="H14" s="67"/>
      <c r="I14" s="129" t="s">
        <v>43</v>
      </c>
      <c r="J14" s="123"/>
      <c r="K14" s="116">
        <f>COUNTIF($G$23:$G$82,"=PTE")+COUNTIF($G$23:$G$82,"=LIC")</f>
        <v>1</v>
      </c>
      <c r="L14" s="117"/>
      <c r="M14" s="134" t="s">
        <v>44</v>
      </c>
      <c r="N14" s="135">
        <f>COUNTIF($I$23:$I$82,"&gt;-1")</f>
        <v>11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0.24</v>
      </c>
      <c r="D15" s="111"/>
      <c r="E15" s="111"/>
      <c r="F15" s="112">
        <f t="shared" si="0"/>
        <v>0.048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5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5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27.51</v>
      </c>
      <c r="C17" s="120">
        <v>11.36</v>
      </c>
      <c r="D17" s="111"/>
      <c r="E17" s="111"/>
      <c r="F17" s="147"/>
      <c r="G17" s="112">
        <f>($B17*$B$7+$C17*$C$7)/100</f>
        <v>24.28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2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24.28</v>
      </c>
      <c r="G19" s="161">
        <f>SUM(G16:G18)</f>
        <v>24.28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27.509999999999998</v>
      </c>
      <c r="C20" s="171">
        <f>SUM(C23:C82)</f>
        <v>11.36</v>
      </c>
      <c r="D20" s="172"/>
      <c r="E20" s="173" t="s">
        <v>53</v>
      </c>
      <c r="F20" s="174">
        <f>($B20*$B$7+$C20*$C$7)/100</f>
        <v>24.279999999999994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22.007999999999996</v>
      </c>
      <c r="C21" s="184">
        <f>C20*C7/100</f>
        <v>2.272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24.279999999999994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0.2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Hildenbrandia sp.</v>
      </c>
      <c r="E23" s="213" t="e">
        <f>IF(D23="",,VLOOKUP(D23,D$22:D22,1,0))</f>
        <v>#N/A</v>
      </c>
      <c r="F23" s="214">
        <f aca="true" t="shared" si="1" ref="F23:F82">($B23*$B$7+$C23*$C$7)/100</f>
        <v>0.16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Hildenbrandia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1157</v>
      </c>
      <c r="Q23" s="221">
        <f aca="true" t="shared" si="2" ref="Q23:Q82">IF(ISTEXT(H23),"",(B23*$B$7/100)+(C23*$C$7/100))</f>
        <v>0.16</v>
      </c>
      <c r="R23" s="222">
        <f aca="true" t="shared" si="3" ref="R23:R82">IF(OR(ISTEXT(H23),Q23=0),"",IF(Q23&lt;0.1,1,IF(Q23&lt;1,2,IF(Q23&lt;10,3,IF(Q23&lt;50,4,IF(Q23&gt;=50,5,""))))))</f>
        <v>2</v>
      </c>
      <c r="S23" s="222">
        <f aca="true" t="shared" si="4" ref="S23:S82">IF(ISERROR(R23*I23),0,R23*I23)</f>
        <v>30</v>
      </c>
      <c r="T23" s="222">
        <f aca="true" t="shared" si="5" ref="T23:T82">IF(ISERROR(R23*I23*J23),0,R23*I23*J23)</f>
        <v>60</v>
      </c>
      <c r="U23" s="222">
        <f aca="true" t="shared" si="6" ref="U23:U82">IF(ISERROR(R23*J23),0,R23*J23)</f>
        <v>4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HILSPX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30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29">
        <v>0.1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Nostoc sp.</v>
      </c>
      <c r="E24" s="231" t="e">
        <f>IF(D24="",,VLOOKUP(D24,D$22:D23,1,0))</f>
        <v>#N/A</v>
      </c>
      <c r="F24" s="232">
        <f t="shared" si="1"/>
        <v>0.08199999999999999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9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Nostoc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1105</v>
      </c>
      <c r="Q24" s="221">
        <f t="shared" si="2"/>
        <v>0.082</v>
      </c>
      <c r="R24" s="222">
        <f t="shared" si="3"/>
        <v>1</v>
      </c>
      <c r="S24" s="222">
        <f t="shared" si="4"/>
        <v>9</v>
      </c>
      <c r="T24" s="222">
        <f t="shared" si="5"/>
        <v>9</v>
      </c>
      <c r="U24" s="234">
        <f t="shared" si="6"/>
        <v>1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NOSSPX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54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29">
        <v>1.5</v>
      </c>
      <c r="C25" s="230">
        <v>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1"/>
        <v>1.4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2"/>
        <v>1.4</v>
      </c>
      <c r="R25" s="222">
        <f t="shared" si="3"/>
        <v>3</v>
      </c>
      <c r="S25" s="222">
        <f t="shared" si="4"/>
        <v>39</v>
      </c>
      <c r="T25" s="222">
        <f t="shared" si="5"/>
        <v>78</v>
      </c>
      <c r="U25" s="234">
        <f t="shared" si="6"/>
        <v>6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Dermatocarpon weberi</v>
      </c>
      <c r="E26" s="231" t="e">
        <f>IF(D26="",,VLOOKUP(D26,D$22:D25,1,0))</f>
        <v>#N/A</v>
      </c>
      <c r="F26" s="232">
        <f t="shared" si="1"/>
        <v>0.002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LIC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3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16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Dermatocarpon weberi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10217</v>
      </c>
      <c r="Q26" s="221">
        <f t="shared" si="2"/>
        <v>0.002</v>
      </c>
      <c r="R26" s="222">
        <f t="shared" si="3"/>
        <v>1</v>
      </c>
      <c r="S26" s="222">
        <f t="shared" si="4"/>
        <v>16</v>
      </c>
      <c r="T26" s="222">
        <f t="shared" si="5"/>
        <v>48</v>
      </c>
      <c r="U26" s="234">
        <f t="shared" si="6"/>
        <v>3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DERWEB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88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29">
        <v>0.2</v>
      </c>
      <c r="C27" s="230">
        <v>0.1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Chiloscyphus polyanthos</v>
      </c>
      <c r="E27" s="231" t="e">
        <f>IF(D27="",,VLOOKUP(D27,D$22:D26,1,0))</f>
        <v>#N/A</v>
      </c>
      <c r="F27" s="232">
        <f t="shared" si="1"/>
        <v>0.18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Chiloscyphus polyanthos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1186</v>
      </c>
      <c r="Q27" s="221">
        <f t="shared" si="2"/>
        <v>0.18</v>
      </c>
      <c r="R27" s="222">
        <f t="shared" si="3"/>
        <v>2</v>
      </c>
      <c r="S27" s="222">
        <f t="shared" si="4"/>
        <v>30</v>
      </c>
      <c r="T27" s="222">
        <f t="shared" si="5"/>
        <v>60</v>
      </c>
      <c r="U27" s="234">
        <f t="shared" si="6"/>
        <v>4</v>
      </c>
      <c r="V27" s="223">
        <f t="shared" si="7"/>
      </c>
      <c r="W27" s="235" t="s">
        <v>54</v>
      </c>
      <c r="Y27" s="225" t="str">
        <f>IF(A27="new.cod","NEWCOD",IF(AND((Z27=""),ISTEXT(A27)),A27,IF(Z27="","",INDEX('[1]liste reference'!$A$8:$A$904,Z27))))</f>
        <v>CHIPOL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97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Cratoneuron filicinum</v>
      </c>
      <c r="E28" s="231" t="e">
        <f>IF(D28="",,VLOOKUP(D28,D$22:D27,1,0))</f>
        <v>#N/A</v>
      </c>
      <c r="F28" s="232">
        <f t="shared" si="1"/>
        <v>0.008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18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Cratoneuron filicinum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1233</v>
      </c>
      <c r="Q28" s="221">
        <f t="shared" si="2"/>
        <v>0.008</v>
      </c>
      <c r="R28" s="222">
        <f t="shared" si="3"/>
        <v>1</v>
      </c>
      <c r="S28" s="222">
        <f t="shared" si="4"/>
        <v>18</v>
      </c>
      <c r="T28" s="222">
        <f t="shared" si="5"/>
        <v>54</v>
      </c>
      <c r="U28" s="234">
        <f t="shared" si="6"/>
        <v>3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CRAFIL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178</v>
      </c>
      <c r="AA28" s="226"/>
      <c r="AB28" s="227"/>
      <c r="AC28" s="227"/>
      <c r="BB28" s="8">
        <f t="shared" si="8"/>
        <v>1</v>
      </c>
    </row>
    <row r="29" spans="1:54" ht="12.75">
      <c r="A29" s="228" t="s">
        <v>16</v>
      </c>
      <c r="B29" s="229">
        <v>25</v>
      </c>
      <c r="C29" s="230">
        <v>10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1"/>
        <v>22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2"/>
        <v>22</v>
      </c>
      <c r="R29" s="222">
        <f t="shared" si="3"/>
        <v>4</v>
      </c>
      <c r="S29" s="222">
        <f t="shared" si="4"/>
        <v>48</v>
      </c>
      <c r="T29" s="222">
        <f t="shared" si="5"/>
        <v>48</v>
      </c>
      <c r="U29" s="234">
        <f t="shared" si="6"/>
        <v>4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84</v>
      </c>
      <c r="B30" s="229">
        <v>0</v>
      </c>
      <c r="C30" s="230">
        <v>0.1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Glyceria fluitans</v>
      </c>
      <c r="E30" s="231" t="e">
        <f>IF(D30="",,VLOOKUP(D30,D$22:D29,1,0))</f>
        <v>#N/A</v>
      </c>
      <c r="F30" s="232">
        <f t="shared" si="1"/>
        <v>0.02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14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Glyceria fluitans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1564</v>
      </c>
      <c r="Q30" s="221">
        <f t="shared" si="2"/>
        <v>0.02</v>
      </c>
      <c r="R30" s="222">
        <f t="shared" si="3"/>
        <v>1</v>
      </c>
      <c r="S30" s="222">
        <f t="shared" si="4"/>
        <v>14</v>
      </c>
      <c r="T30" s="222">
        <f t="shared" si="5"/>
        <v>28</v>
      </c>
      <c r="U30" s="234">
        <f t="shared" si="6"/>
        <v>2</v>
      </c>
      <c r="V30" s="223">
        <f t="shared" si="7"/>
      </c>
      <c r="W30" s="224" t="s">
        <v>54</v>
      </c>
      <c r="Y30" s="225" t="str">
        <f>IF(A30="new.cod","NEWCOD",IF(AND((Z30=""),ISTEXT(A30)),A30,IF(Z30="","",INDEX('[1]liste reference'!$A$8:$A$904,Z30))))</f>
        <v>GLYFLU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575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85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Juncus effusus</v>
      </c>
      <c r="E31" s="231" t="e">
        <f>IF(D31="",,VLOOKUP(D31,D$22:D30,1,0))</f>
        <v>#N/A</v>
      </c>
      <c r="F31" s="232">
        <f t="shared" si="1"/>
        <v>0.002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Juncus effusus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1613</v>
      </c>
      <c r="Q31" s="221">
        <f t="shared" si="2"/>
        <v>0.002</v>
      </c>
      <c r="R31" s="222">
        <f t="shared" si="3"/>
        <v>1</v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54</v>
      </c>
      <c r="Y31" s="225" t="str">
        <f>IF(A31="new.cod","NEWCOD",IF(AND((Z31=""),ISTEXT(A31)),A31,IF(Z31="","",INDEX('[1]liste reference'!$A$8:$A$904,Z31))))</f>
        <v>JUNEFF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586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86</v>
      </c>
      <c r="B32" s="229">
        <v>0</v>
      </c>
      <c r="C32" s="230">
        <v>0.01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Lycopus europaeus</v>
      </c>
      <c r="E32" s="231" t="e">
        <f>IF(D32="",,VLOOKUP(D32,D$22:D31,1,0))</f>
        <v>#N/A</v>
      </c>
      <c r="F32" s="232">
        <f t="shared" si="1"/>
        <v>0.002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11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Lycopus europaeus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1789</v>
      </c>
      <c r="Q32" s="221">
        <f t="shared" si="2"/>
        <v>0.002</v>
      </c>
      <c r="R32" s="222">
        <f t="shared" si="3"/>
        <v>1</v>
      </c>
      <c r="S32" s="222">
        <f t="shared" si="4"/>
        <v>11</v>
      </c>
      <c r="T32" s="222">
        <f t="shared" si="5"/>
        <v>11</v>
      </c>
      <c r="U32" s="234">
        <f t="shared" si="6"/>
        <v>1</v>
      </c>
      <c r="V32" s="223">
        <f t="shared" si="7"/>
      </c>
      <c r="W32" s="224" t="s">
        <v>54</v>
      </c>
      <c r="Y32" s="225" t="str">
        <f>IF(A32="new.cod","NEWCOD",IF(AND((Z32=""),ISTEXT(A32)),A32,IF(Z32="","",INDEX('[1]liste reference'!$A$8:$A$904,Z32))))</f>
        <v>LYCEUR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596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87</v>
      </c>
      <c r="B33" s="229">
        <v>0</v>
      </c>
      <c r="C33" s="230">
        <v>0.01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Mentha aquatica</v>
      </c>
      <c r="E33" s="231" t="e">
        <f>IF(D33="",,VLOOKUP(D33,D$22:D32,1,0))</f>
        <v>#N/A</v>
      </c>
      <c r="F33" s="232">
        <f t="shared" si="1"/>
        <v>0.002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Mentha aquatica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1791</v>
      </c>
      <c r="Q33" s="221">
        <f t="shared" si="2"/>
        <v>0.002</v>
      </c>
      <c r="R33" s="222">
        <f t="shared" si="3"/>
        <v>1</v>
      </c>
      <c r="S33" s="222">
        <f t="shared" si="4"/>
        <v>12</v>
      </c>
      <c r="T33" s="222">
        <f t="shared" si="5"/>
        <v>12</v>
      </c>
      <c r="U33" s="234">
        <f t="shared" si="6"/>
        <v>1</v>
      </c>
      <c r="V33" s="223">
        <f t="shared" si="7"/>
      </c>
      <c r="W33" s="224" t="s">
        <v>54</v>
      </c>
      <c r="Y33" s="225" t="str">
        <f>IF(A33="new.cod","NEWCOD",IF(AND((Z33=""),ISTEXT(A33)),A33,IF(Z33="","",INDEX('[1]liste reference'!$A$8:$A$904,Z33))))</f>
        <v>MENAQU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607</v>
      </c>
      <c r="AA33" s="226"/>
      <c r="AB33" s="227"/>
      <c r="AC33" s="227"/>
      <c r="BB33" s="8">
        <f t="shared" si="8"/>
        <v>1</v>
      </c>
    </row>
    <row r="34" spans="1:54" ht="12.75">
      <c r="A34" s="228" t="s">
        <v>88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Scirpus sylvaticus</v>
      </c>
      <c r="E34" s="231" t="e">
        <f>IF(D34="",,VLOOKUP(D34,D$22:D33,1,0))</f>
        <v>#N/A</v>
      </c>
      <c r="F34" s="236">
        <f t="shared" si="1"/>
        <v>0.002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Scirpus sylvaticus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1525</v>
      </c>
      <c r="Q34" s="221">
        <f t="shared" si="2"/>
        <v>0.002</v>
      </c>
      <c r="R34" s="222">
        <f t="shared" si="3"/>
        <v>1</v>
      </c>
      <c r="S34" s="222">
        <f t="shared" si="4"/>
        <v>10</v>
      </c>
      <c r="T34" s="222">
        <f t="shared" si="5"/>
        <v>20</v>
      </c>
      <c r="U34" s="234">
        <f t="shared" si="6"/>
        <v>2</v>
      </c>
      <c r="V34" s="223">
        <f t="shared" si="7"/>
      </c>
      <c r="W34" s="224" t="s">
        <v>54</v>
      </c>
      <c r="Y34" s="225" t="str">
        <f>IF(A34="new.cod","NEWCOD",IF(AND((Z34=""),ISTEXT(A34)),A34,IF(Z34="","",INDEX('[1]liste reference'!$A$8:$A$904,Z34))))</f>
        <v>SCISYL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665</v>
      </c>
      <c r="AA34" s="226"/>
      <c r="AB34" s="227"/>
      <c r="AC34" s="227"/>
      <c r="BB34" s="8">
        <f t="shared" si="8"/>
        <v>1</v>
      </c>
    </row>
    <row r="35" spans="1:54" ht="12.75">
      <c r="A35" s="228" t="s">
        <v>89</v>
      </c>
      <c r="B35" s="229">
        <v>0.5</v>
      </c>
      <c r="C35" s="230">
        <v>0.1</v>
      </c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1"/>
        <v>0.42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    -</v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Paralemanea</v>
      </c>
      <c r="L35" s="233"/>
      <c r="M35" s="233"/>
      <c r="N35" s="233"/>
      <c r="O35" s="220"/>
      <c r="P35" s="22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54</v>
      </c>
      <c r="Y35" s="225" t="str">
        <f>IF(A35="new.cod","NEWCOD",IF(AND((Z35=""),ISTEXT(A35)),A35,IF(Z35="","",INDEX('[1]liste reference'!$A$8:$A$904,Z35))))</f>
        <v>newcod</v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 t="s">
        <v>90</v>
      </c>
      <c r="AC35" s="227"/>
      <c r="BB35" s="8">
        <f t="shared" si="8"/>
        <v>1</v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91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ROCHEFORT</v>
      </c>
      <c r="B84" s="265" t="str">
        <f>C3</f>
        <v>Rochefort aux Ardillats</v>
      </c>
      <c r="C84" s="266">
        <f>A4</f>
        <v>41473</v>
      </c>
      <c r="D84" s="267">
        <f>IF(ISERROR(SUM($T$23:$T$82)/SUM($U$23:$U$82)),"",SUM($T$23:$T$82)/SUM($U$23:$U$82))</f>
        <v>13.806451612903226</v>
      </c>
      <c r="E84" s="268">
        <f>N13</f>
        <v>13</v>
      </c>
      <c r="F84" s="265">
        <f>N14</f>
        <v>11</v>
      </c>
      <c r="G84" s="265">
        <f>N15</f>
        <v>4</v>
      </c>
      <c r="H84" s="265">
        <f>N16</f>
        <v>5</v>
      </c>
      <c r="I84" s="265">
        <f>N17</f>
        <v>2</v>
      </c>
      <c r="J84" s="269">
        <f>N8</f>
        <v>13.181818181818182</v>
      </c>
      <c r="K84" s="267">
        <f>N9</f>
        <v>2.5873180855923104</v>
      </c>
      <c r="L84" s="268">
        <f>N10</f>
        <v>9</v>
      </c>
      <c r="M84" s="268">
        <f>N11</f>
        <v>18</v>
      </c>
      <c r="N84" s="267">
        <f>O8</f>
        <v>1.8181818181818181</v>
      </c>
      <c r="O84" s="267">
        <f>O9</f>
        <v>0.7158188976374373</v>
      </c>
      <c r="P84" s="268">
        <f>O10</f>
        <v>1</v>
      </c>
      <c r="Q84" s="268">
        <f>O11</f>
        <v>3</v>
      </c>
      <c r="R84" s="268">
        <f>F21</f>
        <v>24.279999999999994</v>
      </c>
      <c r="S84" s="268">
        <f>K11</f>
        <v>0</v>
      </c>
      <c r="T84" s="268">
        <f>K12</f>
        <v>3</v>
      </c>
      <c r="U84" s="268">
        <f>K13</f>
        <v>3</v>
      </c>
      <c r="V84" s="270">
        <f>K14</f>
        <v>1</v>
      </c>
      <c r="W84" s="271">
        <f>K15</f>
        <v>5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92</v>
      </c>
      <c r="R86" s="8"/>
      <c r="S86" s="223"/>
      <c r="T86" s="8"/>
      <c r="U86" s="8"/>
      <c r="V86" s="8"/>
    </row>
    <row r="87" spans="16:22" ht="12.75" hidden="1">
      <c r="P87" s="8"/>
      <c r="Q87" s="8" t="s">
        <v>93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94</v>
      </c>
      <c r="R88" s="8"/>
      <c r="S88" s="223">
        <f>VLOOKUP((S87),($S$23:$U$82),2,0)</f>
        <v>48</v>
      </c>
      <c r="T88" s="8"/>
      <c r="U88" s="8"/>
      <c r="V88" s="8"/>
    </row>
    <row r="89" spans="17:20" ht="12.75" hidden="1">
      <c r="Q89" s="8" t="s">
        <v>95</v>
      </c>
      <c r="R89" s="8"/>
      <c r="S89" s="223">
        <f>VLOOKUP((S87),($S$23:$U$82),3,0)</f>
        <v>4</v>
      </c>
      <c r="T89" s="8"/>
    </row>
    <row r="90" spans="17:20" ht="12.75">
      <c r="Q90" s="8" t="s">
        <v>96</v>
      </c>
      <c r="R90" s="8"/>
      <c r="S90" s="274">
        <f>IF(ISERROR(SUM($T$23:$T$82)/SUM($U$23:$U$82)),"",(SUM($T$23:$T$82)-S88)/(SUM($U$23:$U$82)-S89))</f>
        <v>14.074074074074074</v>
      </c>
      <c r="T90" s="8"/>
    </row>
    <row r="91" spans="17:21" ht="12.75">
      <c r="Q91" s="222" t="s">
        <v>97</v>
      </c>
      <c r="R91" s="222"/>
      <c r="S91" s="22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63"/>
    </row>
    <row r="92" spans="17:20" ht="12.75">
      <c r="Q92" s="8" t="s">
        <v>98</v>
      </c>
      <c r="R92" s="8"/>
      <c r="S92" s="8">
        <f>MATCH(S87,$S$23:$S$82,0)</f>
        <v>7</v>
      </c>
      <c r="T92" s="8"/>
    </row>
    <row r="93" spans="17:20" ht="12.75">
      <c r="Q93" s="222" t="s">
        <v>99</v>
      </c>
      <c r="R93" s="8"/>
      <c r="S93" s="222" t="str">
        <f>INDEX($A$23:$A$82,$S$92)</f>
        <v>RHYRIP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2013-12-03T09:27:56Z</dcterms:created>
  <dcterms:modified xsi:type="dcterms:W3CDTF">2013-12-03T09:28:04Z</dcterms:modified>
  <cp:category/>
  <cp:version/>
  <cp:contentType/>
  <cp:contentStatus/>
</cp:coreProperties>
</file>