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<sst xmlns="http://schemas.openxmlformats.org/spreadsheetml/2006/main" count="218" uniqueCount="109">
  <si>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</si>
  <si>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</si>
  <si>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</si>
  <si>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</si>
  <si>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</si>
  <si>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SAONE</t>
  </si>
  <si>
    <t>SAONE A SAINT BERNARD</t>
  </si>
  <si>
    <t>06053800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</si>
  <si>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</si>
  <si>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</si>
  <si>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</si>
  <si>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</si>
  <si>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</si>
  <si>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</si>
  <si>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</si>
  <si>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</si>
  <si>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NUPLUT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</si>
  <si>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</si>
  <si>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</si>
  <si>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</si>
  <si>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</si>
  <si>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</si>
  <si>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</si>
  <si>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</si>
  <si>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</si>
  <si>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</si>
  <si>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</si>
  <si>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</si>
  <si>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</si>
  <si>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</si>
  <si>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</si>
  <si>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</si>
  <si>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</si>
  <si>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</si>
  <si>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</si>
  <si>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</si>
  <si>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</si>
  <si>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</si>
  <si>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</si>
  <si>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</si>
  <si>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</si>
  <si>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</si>
  <si>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</si>
  <si>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</si>
  <si>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</si>
  <si>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</si>
  <si>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</si>
  <si>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</si>
  <si>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</si>
  <si>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</si>
  <si>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</si>
  <si>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</si>
  <si>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</si>
  <si>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</si>
  <si>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</si>
  <si>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</si>
  <si>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</si>
  <si>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</si>
  <si>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</si>
  <si>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</si>
  <si>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</si>
  <si>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</si>
  <si>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</si>
  <si>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</si>
  <si>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</si>
  <si>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</si>
  <si>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</si>
  <si>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</si>
  <si>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</si>
  <si>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</si>
  <si>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</si>
  <si>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</si>
  <si>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</si>
  <si>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</si>
  <si>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</si>
  <si>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</si>
  <si>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</si>
  <si>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</si>
  <si>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</si>
  <si>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LYNSPX</t>
  </si>
  <si>
    <t>MICSPX</t>
  </si>
  <si>
    <t>OEDSPX</t>
  </si>
  <si>
    <t>PHOSPX</t>
  </si>
  <si>
    <t>STITEN</t>
  </si>
  <si>
    <t>VAUSPX</t>
  </si>
  <si>
    <t>CERDEM</t>
  </si>
  <si>
    <t>MYRSPI</t>
  </si>
  <si>
    <t>NAJMAR</t>
  </si>
  <si>
    <t>NAJMIN</t>
  </si>
  <si>
    <t>POTCRI</t>
  </si>
  <si>
    <t>POTNOD</t>
  </si>
  <si>
    <t>POTPEC</t>
  </si>
  <si>
    <t>VALSPI</t>
  </si>
  <si>
    <t>CARACT</t>
  </si>
  <si>
    <t>CARPEN</t>
  </si>
  <si>
    <t>LYSVUL</t>
  </si>
  <si>
    <t>PHAARU</t>
  </si>
  <si>
    <t>PHRAUS</t>
  </si>
  <si>
    <t>newcod</t>
  </si>
  <si>
    <t>Salix triandra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</si>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</sst>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2" fontId="0" fillId="41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1" borderId="54" xfId="0" applyNumberFormat="1" applyFont="1" applyFill="1" applyBorder="1" applyAlignment="1" applyProtection="1">
      <alignment horizontal="center"/>
      <protection locked="0"/>
    </xf>
    <xf numFmtId="2" fontId="0" fillId="41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1" borderId="65" xfId="0" applyNumberFormat="1" applyFont="1" applyFill="1" applyBorder="1" applyAlignment="1" applyProtection="1">
      <alignment horizontal="center"/>
      <protection locked="0"/>
    </xf>
    <xf numFmtId="2" fontId="0" fillId="41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2" fontId="0" fillId="37" borderId="76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SABER_03-09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18" sqref="W18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41520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6.6909090909090905</v>
      </c>
      <c r="M5" s="52"/>
      <c r="N5" s="53" t="s">
        <v>16</v>
      </c>
      <c r="O5" s="54">
        <v>6.509803921568627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/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>
        <v>0</v>
      </c>
      <c r="C7" s="66">
        <v>100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6.944444444444445</v>
      </c>
      <c r="O8" s="84">
        <f>IF(ISERROR(AVERAGE(J23:J82)),"      -",AVERAGE(J23:J82))</f>
        <v>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/>
      <c r="C9" s="87">
        <v>18.26</v>
      </c>
      <c r="D9" s="88"/>
      <c r="E9" s="88"/>
      <c r="F9" s="89">
        <f aca="true" t="shared" si="0" ref="F9:F15">($B9*$B$7+$C9*$C$7)/100</f>
        <v>18.26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3.1529919163694915</v>
      </c>
      <c r="O9" s="84">
        <f>IF(ISERROR(STDEVP(J23:J82)),"      -",STDEVP(J23:J82))</f>
        <v>0.6666666666666666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/>
      <c r="C10" s="99" t="s">
        <v>31</v>
      </c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/>
      <c r="C12" s="120">
        <v>0.06</v>
      </c>
      <c r="D12" s="111"/>
      <c r="E12" s="111"/>
      <c r="F12" s="112">
        <f t="shared" si="0"/>
        <v>0.06</v>
      </c>
      <c r="G12" s="121"/>
      <c r="H12" s="67"/>
      <c r="I12" s="122" t="s">
        <v>38</v>
      </c>
      <c r="J12" s="123"/>
      <c r="K12" s="116">
        <f>COUNTIF($G$23:$G$82,"=ALG")</f>
        <v>7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/>
      <c r="D13" s="111"/>
      <c r="E13" s="111"/>
      <c r="F13" s="112">
        <f t="shared" si="0"/>
        <v>0</v>
      </c>
      <c r="G13" s="121"/>
      <c r="H13" s="67"/>
      <c r="I13" s="129" t="s">
        <v>40</v>
      </c>
      <c r="J13" s="123"/>
      <c r="K13" s="116">
        <f>COUNTIF($G$23:$G$82,"=BRm")+COUNTIF($G$23:$G$82,"=BRh")</f>
        <v>0</v>
      </c>
      <c r="L13" s="117"/>
      <c r="M13" s="130" t="s">
        <v>41</v>
      </c>
      <c r="N13" s="131">
        <f>COUNTIF(F23:F82,"&gt;0")</f>
        <v>22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18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18.2</v>
      </c>
      <c r="D15" s="111"/>
      <c r="E15" s="111"/>
      <c r="F15" s="112">
        <f t="shared" si="0"/>
        <v>18.2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14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>
        <v>13.35</v>
      </c>
      <c r="D16" s="143"/>
      <c r="E16" s="143"/>
      <c r="F16" s="144"/>
      <c r="G16" s="144">
        <f>($B16*$B$7+$C16*$C$7)/100</f>
        <v>13.35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10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/>
      <c r="C17" s="120">
        <v>4.9</v>
      </c>
      <c r="D17" s="111"/>
      <c r="E17" s="111"/>
      <c r="F17" s="147"/>
      <c r="G17" s="112">
        <f>($B17*$B$7+$C17*$C$7)/100</f>
        <v>4.9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4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0.01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18.259999999999998</v>
      </c>
      <c r="G19" s="161">
        <f>SUM(G16:G18)</f>
        <v>18.26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</v>
      </c>
      <c r="C20" s="171">
        <f>SUM(C23:C82)</f>
        <v>18.259735537190082</v>
      </c>
      <c r="D20" s="172"/>
      <c r="E20" s="173" t="s">
        <v>53</v>
      </c>
      <c r="F20" s="174">
        <f>($B20*$B$7+$C20*$C$7)/100</f>
        <v>18.259735537190082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</v>
      </c>
      <c r="C21" s="184">
        <f>C20*C7/100</f>
        <v>18.259735537190082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18.259735537190082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</v>
      </c>
      <c r="C23" s="212">
        <v>0.03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0.03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0.03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6</v>
      </c>
      <c r="T23" s="222">
        <f aca="true" t="shared" si="5" ref="T23:T82">IF(ISERROR(R23*I23*J23),0,R23*I23*J23)</f>
        <v>6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11">
        <v>0</v>
      </c>
      <c r="C24" s="229">
        <v>0.006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Lyngbya sp.</v>
      </c>
      <c r="E24" s="230" t="e">
        <f>IF(D24="",,VLOOKUP(D24,D$22:D23,1,0))</f>
        <v>#N/A</v>
      </c>
      <c r="F24" s="231">
        <f t="shared" si="1"/>
        <v>0.006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Lyngbya sp.</v>
      </c>
      <c r="L24" s="232"/>
      <c r="M24" s="232"/>
      <c r="N24" s="232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1107</v>
      </c>
      <c r="Q24" s="221">
        <f t="shared" si="2"/>
        <v>0.006</v>
      </c>
      <c r="R24" s="222">
        <f t="shared" si="3"/>
        <v>1</v>
      </c>
      <c r="S24" s="222">
        <f t="shared" si="4"/>
        <v>10</v>
      </c>
      <c r="T24" s="222">
        <f t="shared" si="5"/>
        <v>20</v>
      </c>
      <c r="U24" s="233">
        <f t="shared" si="6"/>
        <v>2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LYNSPX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35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11">
        <v>0</v>
      </c>
      <c r="C25" s="229">
        <v>0.0015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Microspora sp.</v>
      </c>
      <c r="E25" s="230" t="e">
        <f>IF(D25="",,VLOOKUP(D25,D$22:D24,1,0))</f>
        <v>#N/A</v>
      </c>
      <c r="F25" s="231">
        <f t="shared" si="1"/>
        <v>0.0015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Microspora sp.</v>
      </c>
      <c r="L25" s="232"/>
      <c r="M25" s="232"/>
      <c r="N25" s="232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1132</v>
      </c>
      <c r="Q25" s="221">
        <f t="shared" si="2"/>
        <v>0.0015</v>
      </c>
      <c r="R25" s="222">
        <f t="shared" si="3"/>
        <v>1</v>
      </c>
      <c r="S25" s="222">
        <f t="shared" si="4"/>
        <v>12</v>
      </c>
      <c r="T25" s="222">
        <f t="shared" si="5"/>
        <v>24</v>
      </c>
      <c r="U25" s="233">
        <f t="shared" si="6"/>
        <v>2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MICSPX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41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11">
        <v>0</v>
      </c>
      <c r="C26" s="229">
        <v>0.003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Oedogonium sp.</v>
      </c>
      <c r="E26" s="230" t="e">
        <f>IF(D26="",,VLOOKUP(D26,D$22:D25,1,0))</f>
        <v>#N/A</v>
      </c>
      <c r="F26" s="231">
        <f t="shared" si="1"/>
        <v>0.003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6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Oedogonium sp.</v>
      </c>
      <c r="L26" s="232"/>
      <c r="M26" s="232"/>
      <c r="N26" s="232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1134</v>
      </c>
      <c r="Q26" s="221">
        <f t="shared" si="2"/>
        <v>0.003</v>
      </c>
      <c r="R26" s="222">
        <f t="shared" si="3"/>
        <v>1</v>
      </c>
      <c r="S26" s="222">
        <f t="shared" si="4"/>
        <v>6</v>
      </c>
      <c r="T26" s="222">
        <f t="shared" si="5"/>
        <v>12</v>
      </c>
      <c r="U26" s="233">
        <f t="shared" si="6"/>
        <v>2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OEDSPX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55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11">
        <v>0</v>
      </c>
      <c r="C27" s="229">
        <v>0.021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0" t="e">
        <f>IF(D27="",,VLOOKUP(D27,D$22:D26,1,0))</f>
        <v>#N/A</v>
      </c>
      <c r="F27" s="231">
        <f t="shared" si="1"/>
        <v>0.021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2"/>
      <c r="M27" s="232"/>
      <c r="N27" s="232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2"/>
        <v>0.021</v>
      </c>
      <c r="R27" s="222">
        <f t="shared" si="3"/>
        <v>1</v>
      </c>
      <c r="S27" s="222">
        <f t="shared" si="4"/>
        <v>13</v>
      </c>
      <c r="T27" s="222">
        <f t="shared" si="5"/>
        <v>26</v>
      </c>
      <c r="U27" s="233">
        <f t="shared" si="6"/>
        <v>2</v>
      </c>
      <c r="V27" s="223">
        <f t="shared" si="7"/>
      </c>
      <c r="W27" s="234" t="s">
        <v>54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11">
        <v>0</v>
      </c>
      <c r="C28" s="229">
        <v>0.0015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Stigeoclonium tenue</v>
      </c>
      <c r="E28" s="230" t="e">
        <f>IF(D28="",,VLOOKUP(D28,D$22:D27,1,0))</f>
        <v>#N/A</v>
      </c>
      <c r="F28" s="231">
        <f t="shared" si="1"/>
        <v>0.0015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Stigeoclonium tenue</v>
      </c>
      <c r="L28" s="232"/>
      <c r="M28" s="232"/>
      <c r="N28" s="232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5583</v>
      </c>
      <c r="Q28" s="221">
        <f t="shared" si="2"/>
        <v>0.0015</v>
      </c>
      <c r="R28" s="222">
        <f t="shared" si="3"/>
        <v>1</v>
      </c>
      <c r="S28" s="222">
        <f t="shared" si="4"/>
        <v>1</v>
      </c>
      <c r="T28" s="222">
        <f t="shared" si="5"/>
        <v>3</v>
      </c>
      <c r="U28" s="233">
        <f t="shared" si="6"/>
        <v>3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STITEN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72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11">
        <v>0</v>
      </c>
      <c r="C29" s="229">
        <v>0.0015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Vaucheria sp.</v>
      </c>
      <c r="E29" s="230" t="e">
        <f>IF(D29="",,VLOOKUP(D29,D$22:D28,1,0))</f>
        <v>#N/A</v>
      </c>
      <c r="F29" s="231">
        <f t="shared" si="1"/>
        <v>0.0015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4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Vaucheria sp.</v>
      </c>
      <c r="L29" s="232"/>
      <c r="M29" s="232"/>
      <c r="N29" s="232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6193</v>
      </c>
      <c r="Q29" s="221">
        <f t="shared" si="2"/>
        <v>0.0015</v>
      </c>
      <c r="R29" s="222">
        <f t="shared" si="3"/>
        <v>1</v>
      </c>
      <c r="S29" s="222">
        <f t="shared" si="4"/>
        <v>4</v>
      </c>
      <c r="T29" s="222">
        <f t="shared" si="5"/>
        <v>4</v>
      </c>
      <c r="U29" s="233">
        <f t="shared" si="6"/>
        <v>1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VAUSPX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82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11">
        <v>0</v>
      </c>
      <c r="C30" s="229">
        <v>0.31761570247933885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Ceratophyllum demersum</v>
      </c>
      <c r="E30" s="230" t="e">
        <f>IF(D30="",,VLOOKUP(D30,D$22:D29,1,0))</f>
        <v>#N/A</v>
      </c>
      <c r="F30" s="231">
        <f t="shared" si="1"/>
        <v>0.31761570247933885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Ceratophyllum demersum</v>
      </c>
      <c r="L30" s="232"/>
      <c r="M30" s="232"/>
      <c r="N30" s="232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1717</v>
      </c>
      <c r="Q30" s="221">
        <f t="shared" si="2"/>
        <v>0.31761570247933885</v>
      </c>
      <c r="R30" s="222">
        <f t="shared" si="3"/>
        <v>2</v>
      </c>
      <c r="S30" s="222">
        <f t="shared" si="4"/>
        <v>10</v>
      </c>
      <c r="T30" s="222">
        <f t="shared" si="5"/>
        <v>20</v>
      </c>
      <c r="U30" s="233">
        <f t="shared" si="6"/>
        <v>4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CERDEM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330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86</v>
      </c>
      <c r="B31" s="211">
        <v>0</v>
      </c>
      <c r="C31" s="229">
        <v>1.1957148760330578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Myriophyllum spicatum</v>
      </c>
      <c r="E31" s="230" t="e">
        <f>IF(D31="",,VLOOKUP(D31,D$22:D30,1,0))</f>
        <v>#N/A</v>
      </c>
      <c r="F31" s="231">
        <f t="shared" si="1"/>
        <v>1.1957148760330578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8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Myriophyllum spicatum</v>
      </c>
      <c r="L31" s="232"/>
      <c r="M31" s="232"/>
      <c r="N31" s="232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1778</v>
      </c>
      <c r="Q31" s="221">
        <f t="shared" si="2"/>
        <v>1.1957148760330578</v>
      </c>
      <c r="R31" s="222">
        <f t="shared" si="3"/>
        <v>3</v>
      </c>
      <c r="S31" s="222">
        <f t="shared" si="4"/>
        <v>24</v>
      </c>
      <c r="T31" s="222">
        <f t="shared" si="5"/>
        <v>48</v>
      </c>
      <c r="U31" s="233">
        <f t="shared" si="6"/>
        <v>6</v>
      </c>
      <c r="V31" s="223">
        <f t="shared" si="7"/>
      </c>
      <c r="W31" s="224" t="s">
        <v>54</v>
      </c>
      <c r="Y31" s="225" t="str">
        <f>IF(A31="new.cod","NEWCOD",IF(AND((Z31=""),ISTEXT(A31)),A31,IF(Z31="","",INDEX('[1]liste reference'!$A$8:$A$904,Z31))))</f>
        <v>MYRSPI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373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87</v>
      </c>
      <c r="B32" s="211">
        <v>0</v>
      </c>
      <c r="C32" s="229">
        <v>1.2293388429752066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Najas marina</v>
      </c>
      <c r="E32" s="230" t="e">
        <f>IF(D32="",,VLOOKUP(D32,D$22:D31,1,0))</f>
        <v>#N/A</v>
      </c>
      <c r="F32" s="231">
        <f t="shared" si="1"/>
        <v>1.2293388429752066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5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3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Najas marina</v>
      </c>
      <c r="L32" s="232"/>
      <c r="M32" s="232"/>
      <c r="N32" s="232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1835</v>
      </c>
      <c r="Q32" s="221">
        <f t="shared" si="2"/>
        <v>1.2293388429752066</v>
      </c>
      <c r="R32" s="222">
        <f t="shared" si="3"/>
        <v>3</v>
      </c>
      <c r="S32" s="222">
        <f t="shared" si="4"/>
        <v>15</v>
      </c>
      <c r="T32" s="222">
        <f t="shared" si="5"/>
        <v>45</v>
      </c>
      <c r="U32" s="233">
        <f t="shared" si="6"/>
        <v>9</v>
      </c>
      <c r="V32" s="223">
        <f t="shared" si="7"/>
      </c>
      <c r="W32" s="224" t="s">
        <v>54</v>
      </c>
      <c r="Y32" s="225" t="str">
        <f>IF(A32="new.cod","NEWCOD",IF(AND((Z32=""),ISTEXT(A32)),A32,IF(Z32="","",INDEX('[1]liste reference'!$A$8:$A$904,Z32))))</f>
        <v>NAJMAR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379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88</v>
      </c>
      <c r="B33" s="211">
        <v>0</v>
      </c>
      <c r="C33" s="229">
        <v>0.03512396694214876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Najas minor</v>
      </c>
      <c r="E33" s="230" t="e">
        <f>IF(D33="",,VLOOKUP(D33,D$22:D32,1,0))</f>
        <v>#N/A</v>
      </c>
      <c r="F33" s="231">
        <f t="shared" si="1"/>
        <v>0.03512396694214876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6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Najas minor</v>
      </c>
      <c r="L33" s="232"/>
      <c r="M33" s="232"/>
      <c r="N33" s="232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1836</v>
      </c>
      <c r="Q33" s="221">
        <f t="shared" si="2"/>
        <v>0.03512396694214876</v>
      </c>
      <c r="R33" s="222">
        <f t="shared" si="3"/>
        <v>1</v>
      </c>
      <c r="S33" s="222">
        <f t="shared" si="4"/>
        <v>6</v>
      </c>
      <c r="T33" s="222">
        <f t="shared" si="5"/>
        <v>18</v>
      </c>
      <c r="U33" s="233">
        <f t="shared" si="6"/>
        <v>3</v>
      </c>
      <c r="V33" s="223">
        <f t="shared" si="7"/>
      </c>
      <c r="W33" s="224" t="s">
        <v>54</v>
      </c>
      <c r="Y33" s="225" t="str">
        <f>IF(A33="new.cod","NEWCOD",IF(AND((Z33=""),ISTEXT(A33)),A33,IF(Z33="","",INDEX('[1]liste reference'!$A$8:$A$904,Z33))))</f>
        <v>NAJMIN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383</v>
      </c>
      <c r="AA33" s="226"/>
      <c r="AB33" s="227"/>
      <c r="AC33" s="227"/>
      <c r="BB33" s="8">
        <f t="shared" si="8"/>
        <v>1</v>
      </c>
    </row>
    <row r="34" spans="1:54" ht="12.75">
      <c r="A34" s="228" t="s">
        <v>16</v>
      </c>
      <c r="B34" s="211">
        <v>0</v>
      </c>
      <c r="C34" s="229">
        <v>13.314876033057852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Nuphar lutea</v>
      </c>
      <c r="E34" s="230" t="e">
        <f>IF(D34="",,VLOOKUP(D34,D$22:D33,1,0))</f>
        <v>#N/A</v>
      </c>
      <c r="F34" s="235">
        <f t="shared" si="1"/>
        <v>13.314876033057852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9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Nuphar lutea</v>
      </c>
      <c r="L34" s="232"/>
      <c r="M34" s="232"/>
      <c r="N34" s="232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1839</v>
      </c>
      <c r="Q34" s="221">
        <f t="shared" si="2"/>
        <v>13.314876033057852</v>
      </c>
      <c r="R34" s="222">
        <f t="shared" si="3"/>
        <v>4</v>
      </c>
      <c r="S34" s="222">
        <f t="shared" si="4"/>
        <v>36</v>
      </c>
      <c r="T34" s="222">
        <f t="shared" si="5"/>
        <v>36</v>
      </c>
      <c r="U34" s="233">
        <f t="shared" si="6"/>
        <v>4</v>
      </c>
      <c r="V34" s="223">
        <f t="shared" si="7"/>
      </c>
      <c r="W34" s="224" t="s">
        <v>54</v>
      </c>
      <c r="Y34" s="225" t="str">
        <f>IF(A34="new.cod","NEWCOD",IF(AND((Z34=""),ISTEXT(A34)),A34,IF(Z34="","",INDEX('[1]liste reference'!$A$8:$A$904,Z34))))</f>
        <v>NUPLUT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389</v>
      </c>
      <c r="AA34" s="226"/>
      <c r="AB34" s="227"/>
      <c r="AC34" s="227"/>
      <c r="BB34" s="8">
        <f t="shared" si="8"/>
        <v>1</v>
      </c>
    </row>
    <row r="35" spans="1:54" ht="12.75">
      <c r="A35" s="228" t="s">
        <v>89</v>
      </c>
      <c r="B35" s="211">
        <v>0</v>
      </c>
      <c r="C35" s="229">
        <v>0.0015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Potamogeton crispus</v>
      </c>
      <c r="E35" s="230" t="e">
        <f>IF(D35="",,VLOOKUP(D35,D$22:D34,1,0))</f>
        <v>#N/A</v>
      </c>
      <c r="F35" s="235">
        <f t="shared" si="1"/>
        <v>0.0015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7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Potamogeton crispus</v>
      </c>
      <c r="L35" s="232"/>
      <c r="M35" s="232"/>
      <c r="N35" s="232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1645</v>
      </c>
      <c r="Q35" s="221">
        <f t="shared" si="2"/>
        <v>0.0015</v>
      </c>
      <c r="R35" s="222">
        <f t="shared" si="3"/>
        <v>1</v>
      </c>
      <c r="S35" s="222">
        <f t="shared" si="4"/>
        <v>7</v>
      </c>
      <c r="T35" s="222">
        <f t="shared" si="5"/>
        <v>14</v>
      </c>
      <c r="U35" s="233">
        <f t="shared" si="6"/>
        <v>2</v>
      </c>
      <c r="V35" s="223">
        <f t="shared" si="7"/>
      </c>
      <c r="W35" s="224" t="s">
        <v>54</v>
      </c>
      <c r="Y35" s="225" t="str">
        <f>IF(A35="new.cod","NEWCOD",IF(AND((Z35=""),ISTEXT(A35)),A35,IF(Z35="","",INDEX('[1]liste reference'!$A$8:$A$904,Z35))))</f>
        <v>POTCRI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409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90</v>
      </c>
      <c r="B36" s="211">
        <v>0</v>
      </c>
      <c r="C36" s="229">
        <v>0.03512396694214876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Potamogeton nodosus</v>
      </c>
      <c r="E36" s="230" t="e">
        <f>IF(D36="",,VLOOKUP(D36,D$22:D35,1,0))</f>
        <v>#N/A</v>
      </c>
      <c r="F36" s="235">
        <f t="shared" si="1"/>
        <v>0.03512396694214876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4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3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Potamogeton nodosus</v>
      </c>
      <c r="L36" s="232"/>
      <c r="M36" s="232"/>
      <c r="N36" s="232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1652</v>
      </c>
      <c r="Q36" s="221">
        <f t="shared" si="2"/>
        <v>0.03512396694214876</v>
      </c>
      <c r="R36" s="222">
        <f t="shared" si="3"/>
        <v>1</v>
      </c>
      <c r="S36" s="222">
        <f t="shared" si="4"/>
        <v>4</v>
      </c>
      <c r="T36" s="222">
        <f t="shared" si="5"/>
        <v>12</v>
      </c>
      <c r="U36" s="233">
        <f t="shared" si="6"/>
        <v>3</v>
      </c>
      <c r="V36" s="223">
        <f t="shared" si="7"/>
      </c>
      <c r="W36" s="224" t="s">
        <v>54</v>
      </c>
      <c r="Y36" s="225" t="str">
        <f>IF(A36="new.cod","NEWCOD",IF(AND((Z36=""),ISTEXT(A36)),A36,IF(Z36="","",INDEX('[1]liste reference'!$A$8:$A$904,Z36))))</f>
        <v>POTNOD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418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91</v>
      </c>
      <c r="B37" s="211">
        <v>0</v>
      </c>
      <c r="C37" s="229">
        <v>0.05012396694214876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Potamogeton pectinatus</v>
      </c>
      <c r="E37" s="230" t="e">
        <f>IF(D37="",,VLOOKUP(D37,D$22:D36,1,0))</f>
        <v>#N/A</v>
      </c>
      <c r="F37" s="235">
        <f t="shared" si="1"/>
        <v>0.050123966942148754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PHy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7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2</v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Potamogeton pectinatus</v>
      </c>
      <c r="L37" s="232"/>
      <c r="M37" s="232"/>
      <c r="N37" s="232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1655</v>
      </c>
      <c r="Q37" s="221">
        <f t="shared" si="2"/>
        <v>0.050123966942148754</v>
      </c>
      <c r="R37" s="222">
        <f t="shared" si="3"/>
        <v>1</v>
      </c>
      <c r="S37" s="222">
        <f t="shared" si="4"/>
        <v>2</v>
      </c>
      <c r="T37" s="222">
        <f t="shared" si="5"/>
        <v>4</v>
      </c>
      <c r="U37" s="233">
        <f t="shared" si="6"/>
        <v>2</v>
      </c>
      <c r="V37" s="223">
        <f t="shared" si="7"/>
      </c>
      <c r="W37" s="224" t="s">
        <v>54</v>
      </c>
      <c r="Y37" s="225" t="str">
        <f>IF(A37="new.cod","NEWCOD",IF(AND((Z37=""),ISTEXT(A37)),A37,IF(Z37="","",INDEX('[1]liste reference'!$A$8:$A$904,Z37))))</f>
        <v>POTPEC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421</v>
      </c>
      <c r="AA37" s="226"/>
      <c r="AB37" s="227"/>
      <c r="AC37" s="227"/>
      <c r="BB37" s="8">
        <f t="shared" si="8"/>
        <v>1</v>
      </c>
    </row>
    <row r="38" spans="1:54" ht="12.75">
      <c r="A38" s="228" t="s">
        <v>92</v>
      </c>
      <c r="B38" s="211">
        <v>0</v>
      </c>
      <c r="C38" s="229">
        <v>2.006818181818182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Vallisneria spiralis</v>
      </c>
      <c r="E38" s="230" t="e">
        <f>IF(D38="",,VLOOKUP(D38,D$22:D37,1,0))</f>
        <v>#N/A</v>
      </c>
      <c r="F38" s="235">
        <f t="shared" si="1"/>
        <v>2.006818181818182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PHy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7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8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Vallisneria spiralis</v>
      </c>
      <c r="L38" s="232"/>
      <c r="M38" s="232"/>
      <c r="N38" s="232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1598</v>
      </c>
      <c r="Q38" s="221">
        <f t="shared" si="2"/>
        <v>2.006818181818182</v>
      </c>
      <c r="R38" s="222">
        <f t="shared" si="3"/>
        <v>3</v>
      </c>
      <c r="S38" s="222">
        <f t="shared" si="4"/>
        <v>24</v>
      </c>
      <c r="T38" s="222">
        <f t="shared" si="5"/>
        <v>48</v>
      </c>
      <c r="U38" s="233">
        <f t="shared" si="6"/>
        <v>6</v>
      </c>
      <c r="V38" s="223">
        <f t="shared" si="7"/>
      </c>
      <c r="W38" s="224" t="s">
        <v>54</v>
      </c>
      <c r="Y38" s="225" t="str">
        <f>IF(A38="new.cod","NEWCOD",IF(AND((Z38=""),ISTEXT(A38)),A38,IF(Z38="","",INDEX('[1]liste reference'!$A$8:$A$904,Z38))))</f>
        <v>VALSPI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498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93</v>
      </c>
      <c r="B39" s="211">
        <v>0</v>
      </c>
      <c r="C39" s="229">
        <v>0.0015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Carex acutiformis</v>
      </c>
      <c r="E39" s="230" t="e">
        <f>IF(D39="",,VLOOKUP(D39,D$22:D38,1,0))</f>
        <v>#N/A</v>
      </c>
      <c r="F39" s="235">
        <f t="shared" si="1"/>
        <v>0.0015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Carex acutiformis</v>
      </c>
      <c r="L39" s="232"/>
      <c r="M39" s="232"/>
      <c r="N39" s="232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1468</v>
      </c>
      <c r="Q39" s="221">
        <f t="shared" si="2"/>
        <v>0.0015</v>
      </c>
      <c r="R39" s="222">
        <f t="shared" si="3"/>
        <v>1</v>
      </c>
      <c r="S39" s="222">
        <f t="shared" si="4"/>
        <v>0</v>
      </c>
      <c r="T39" s="222">
        <f t="shared" si="5"/>
        <v>0</v>
      </c>
      <c r="U39" s="233">
        <f t="shared" si="6"/>
        <v>0</v>
      </c>
      <c r="V39" s="223">
        <f t="shared" si="7"/>
      </c>
      <c r="W39" s="224" t="s">
        <v>54</v>
      </c>
      <c r="Y39" s="225" t="str">
        <f>IF(A39="new.cod","NEWCOD",IF(AND((Z39=""),ISTEXT(A39)),A39,IF(Z39="","",INDEX('[1]liste reference'!$A$8:$A$904,Z39))))</f>
        <v>CARACT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537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94</v>
      </c>
      <c r="B40" s="211">
        <v>0</v>
      </c>
      <c r="C40" s="229">
        <v>0.0015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Carex pendula</v>
      </c>
      <c r="E40" s="230" t="e">
        <f>IF(D40="",,VLOOKUP(D40,D$22:D39,1,0))</f>
        <v>#N/A</v>
      </c>
      <c r="F40" s="235">
        <f t="shared" si="1"/>
        <v>0.0015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Carex pendula</v>
      </c>
      <c r="L40" s="232"/>
      <c r="M40" s="232"/>
      <c r="N40" s="232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1485</v>
      </c>
      <c r="Q40" s="221">
        <f t="shared" si="2"/>
        <v>0.0015</v>
      </c>
      <c r="R40" s="222">
        <f t="shared" si="3"/>
        <v>1</v>
      </c>
      <c r="S40" s="222">
        <f t="shared" si="4"/>
        <v>0</v>
      </c>
      <c r="T40" s="222">
        <f t="shared" si="5"/>
        <v>0</v>
      </c>
      <c r="U40" s="233">
        <f t="shared" si="6"/>
        <v>0</v>
      </c>
      <c r="V40" s="223">
        <f t="shared" si="7"/>
      </c>
      <c r="W40" s="224" t="s">
        <v>54</v>
      </c>
      <c r="Y40" s="225" t="str">
        <f>IF(A40="new.cod","NEWCOD",IF(AND((Z40=""),ISTEXT(A40)),A40,IF(Z40="","",INDEX('[1]liste reference'!$A$8:$A$904,Z40))))</f>
        <v>CARPEN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541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95</v>
      </c>
      <c r="B41" s="211">
        <v>0</v>
      </c>
      <c r="C41" s="229">
        <v>0.0015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Lysimachia vulgaris</v>
      </c>
      <c r="E41" s="230" t="e">
        <f>IF(D41="",,VLOOKUP(D41,D$22:D40,1,0))</f>
        <v>#N/A</v>
      </c>
      <c r="F41" s="235">
        <f t="shared" si="1"/>
        <v>0.0015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Lysimachia vulgaris</v>
      </c>
      <c r="L41" s="232"/>
      <c r="M41" s="232"/>
      <c r="N41" s="232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1887</v>
      </c>
      <c r="Q41" s="221">
        <f t="shared" si="2"/>
        <v>0.0015</v>
      </c>
      <c r="R41" s="222">
        <f t="shared" si="3"/>
        <v>1</v>
      </c>
      <c r="S41" s="222">
        <f t="shared" si="4"/>
        <v>0</v>
      </c>
      <c r="T41" s="222">
        <f t="shared" si="5"/>
        <v>0</v>
      </c>
      <c r="U41" s="233">
        <f t="shared" si="6"/>
        <v>0</v>
      </c>
      <c r="V41" s="223">
        <f t="shared" si="7"/>
      </c>
      <c r="W41" s="224" t="s">
        <v>54</v>
      </c>
      <c r="Y41" s="225" t="str">
        <f>IF(A41="new.cod","NEWCOD",IF(AND((Z41=""),ISTEXT(A41)),A41,IF(Z41="","",INDEX('[1]liste reference'!$A$8:$A$904,Z41))))</f>
        <v>LYSVUL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601</v>
      </c>
      <c r="AA41" s="226"/>
      <c r="AB41" s="227"/>
      <c r="AC41" s="227"/>
      <c r="BB41" s="8">
        <f t="shared" si="8"/>
        <v>1</v>
      </c>
    </row>
    <row r="42" spans="1:54" ht="12.75">
      <c r="A42" s="228" t="s">
        <v>96</v>
      </c>
      <c r="B42" s="211">
        <v>0</v>
      </c>
      <c r="C42" s="229">
        <v>0.0015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Phalaris arundinacea</v>
      </c>
      <c r="E42" s="230" t="e">
        <f>IF(D42="",,VLOOKUP(D42,D$22:D41,1,0))</f>
        <v>#N/A</v>
      </c>
      <c r="F42" s="235">
        <f t="shared" si="1"/>
        <v>0.0015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PHe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8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10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1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Phalaris arundinacea</v>
      </c>
      <c r="L42" s="232"/>
      <c r="M42" s="232"/>
      <c r="N42" s="232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1577</v>
      </c>
      <c r="Q42" s="221">
        <f t="shared" si="2"/>
        <v>0.0015</v>
      </c>
      <c r="R42" s="222">
        <f t="shared" si="3"/>
        <v>1</v>
      </c>
      <c r="S42" s="222">
        <f t="shared" si="4"/>
        <v>10</v>
      </c>
      <c r="T42" s="222">
        <f t="shared" si="5"/>
        <v>10</v>
      </c>
      <c r="U42" s="233">
        <f t="shared" si="6"/>
        <v>1</v>
      </c>
      <c r="V42" s="223">
        <f t="shared" si="7"/>
      </c>
      <c r="W42" s="224" t="s">
        <v>54</v>
      </c>
      <c r="Y42" s="225" t="str">
        <f>IF(A42="new.cod","NEWCOD",IF(AND((Z42=""),ISTEXT(A42)),A42,IF(Z42="","",INDEX('[1]liste reference'!$A$8:$A$904,Z42))))</f>
        <v>PHAARU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634</v>
      </c>
      <c r="AA42" s="226"/>
      <c r="AB42" s="227"/>
      <c r="AC42" s="227"/>
      <c r="BB42" s="8">
        <f t="shared" si="8"/>
        <v>1</v>
      </c>
    </row>
    <row r="43" spans="1:54" ht="12.75">
      <c r="A43" s="228" t="s">
        <v>97</v>
      </c>
      <c r="B43" s="211">
        <v>0</v>
      </c>
      <c r="C43" s="229">
        <v>0.0015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Phragmites australis</v>
      </c>
      <c r="E43" s="230" t="e">
        <f>IF(D43="",,VLOOKUP(D43,D$22:D42,1,0))</f>
        <v>#N/A</v>
      </c>
      <c r="F43" s="235">
        <f t="shared" si="1"/>
        <v>0.0015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8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>9</v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>2</v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Phragmites australis</v>
      </c>
      <c r="L43" s="232"/>
      <c r="M43" s="232"/>
      <c r="N43" s="232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1579</v>
      </c>
      <c r="Q43" s="221">
        <f t="shared" si="2"/>
        <v>0.0015</v>
      </c>
      <c r="R43" s="222">
        <f t="shared" si="3"/>
        <v>1</v>
      </c>
      <c r="S43" s="222">
        <f t="shared" si="4"/>
        <v>9</v>
      </c>
      <c r="T43" s="222">
        <f t="shared" si="5"/>
        <v>18</v>
      </c>
      <c r="U43" s="233">
        <f t="shared" si="6"/>
        <v>2</v>
      </c>
      <c r="V43" s="223">
        <f t="shared" si="7"/>
      </c>
      <c r="W43" s="224" t="s">
        <v>54</v>
      </c>
      <c r="Y43" s="225" t="str">
        <f>IF(A43="new.cod","NEWCOD",IF(AND((Z43=""),ISTEXT(A43)),A43,IF(Z43="","",INDEX('[1]liste reference'!$A$8:$A$904,Z43))))</f>
        <v>PHRAUS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635</v>
      </c>
      <c r="AA43" s="226"/>
      <c r="AB43" s="227"/>
      <c r="AC43" s="227"/>
      <c r="BB43" s="8">
        <f t="shared" si="8"/>
        <v>1</v>
      </c>
    </row>
    <row r="44" spans="1:54" ht="12.75">
      <c r="A44" s="228" t="s">
        <v>98</v>
      </c>
      <c r="B44" s="211">
        <v>0</v>
      </c>
      <c r="C44" s="229">
        <v>0.0015</v>
      </c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1"/>
        <v>0.0015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    -</v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Salix triandra</v>
      </c>
      <c r="L44" s="232"/>
      <c r="M44" s="232"/>
      <c r="N44" s="232"/>
      <c r="O44" s="220"/>
      <c r="P44" s="220" t="str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No</v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3">
        <f t="shared" si="6"/>
        <v>0</v>
      </c>
      <c r="V44" s="223">
        <f t="shared" si="7"/>
      </c>
      <c r="W44" s="224" t="s">
        <v>54</v>
      </c>
      <c r="Y44" s="225" t="str">
        <f>IF(A44="new.cod","NEWCOD",IF(AND((Z44=""),ISTEXT(A44)),A44,IF(Z44="","",INDEX('[1]liste reference'!$A$8:$A$904,Z44))))</f>
        <v>newcod</v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 t="s">
        <v>99</v>
      </c>
      <c r="AC44" s="227"/>
      <c r="BB44" s="8">
        <f t="shared" si="8"/>
        <v>1</v>
      </c>
    </row>
    <row r="45" spans="1:54" ht="12.75">
      <c r="A45" s="228" t="s">
        <v>54</v>
      </c>
      <c r="B45" s="236"/>
      <c r="C45" s="229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3">
        <f t="shared" si="6"/>
        <v>0</v>
      </c>
      <c r="V45" s="223">
        <f t="shared" si="7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54</v>
      </c>
      <c r="B46" s="236"/>
      <c r="C46" s="229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3">
        <f t="shared" si="6"/>
        <v>0</v>
      </c>
      <c r="V46" s="223">
        <f t="shared" si="7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54</v>
      </c>
      <c r="B47" s="236"/>
      <c r="C47" s="229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3">
        <f t="shared" si="6"/>
        <v>0</v>
      </c>
      <c r="V47" s="223">
        <f t="shared" si="7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54</v>
      </c>
      <c r="B48" s="236"/>
      <c r="C48" s="229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3">
        <f t="shared" si="6"/>
        <v>0</v>
      </c>
      <c r="V48" s="223">
        <f t="shared" si="7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54</v>
      </c>
      <c r="B49" s="236"/>
      <c r="C49" s="229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3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36"/>
      <c r="C50" s="229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3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36"/>
      <c r="C51" s="229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3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36"/>
      <c r="C52" s="229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3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36"/>
      <c r="C53" s="229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3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36"/>
      <c r="C54" s="229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3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36"/>
      <c r="C55" s="229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3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36"/>
      <c r="C56" s="229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3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36"/>
      <c r="C57" s="229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3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36"/>
      <c r="C58" s="229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3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36"/>
      <c r="C59" s="229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3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36"/>
      <c r="C60" s="229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3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36"/>
      <c r="C61" s="229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3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36"/>
      <c r="C62" s="229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3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36"/>
      <c r="C63" s="229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3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36"/>
      <c r="C64" s="229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3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36"/>
      <c r="C65" s="229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3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36"/>
      <c r="C66" s="229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3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36"/>
      <c r="C67" s="229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3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36"/>
      <c r="C68" s="229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3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36"/>
      <c r="C69" s="229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3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36"/>
      <c r="C70" s="229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3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36"/>
      <c r="C71" s="229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3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36"/>
      <c r="C72" s="229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3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36"/>
      <c r="C73" s="229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3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36"/>
      <c r="C74" s="229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3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36"/>
      <c r="C75" s="229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3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36"/>
      <c r="C76" s="229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3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36"/>
      <c r="C77" s="229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3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36"/>
      <c r="C78" s="229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3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36"/>
      <c r="C79" s="229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3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36"/>
      <c r="C80" s="229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3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36"/>
      <c r="C81" s="229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3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3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100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SAONE</v>
      </c>
      <c r="B84" s="265" t="str">
        <f>C3</f>
        <v>SAONE A SAINT BERNARD</v>
      </c>
      <c r="C84" s="266">
        <f>A4</f>
        <v>41520</v>
      </c>
      <c r="D84" s="267">
        <f>IF(ISERROR(SUM($T$23:$T$82)/SUM($U$23:$U$82)),"",SUM($T$23:$T$82)/SUM($U$23:$U$82))</f>
        <v>6.6909090909090905</v>
      </c>
      <c r="E84" s="268">
        <f>N13</f>
        <v>22</v>
      </c>
      <c r="F84" s="265">
        <f>N14</f>
        <v>18</v>
      </c>
      <c r="G84" s="265">
        <f>N15</f>
        <v>4</v>
      </c>
      <c r="H84" s="265">
        <f>N16</f>
        <v>10</v>
      </c>
      <c r="I84" s="265">
        <f>N17</f>
        <v>4</v>
      </c>
      <c r="J84" s="269">
        <f>N8</f>
        <v>6.944444444444445</v>
      </c>
      <c r="K84" s="267">
        <f>N9</f>
        <v>3.1529919163694915</v>
      </c>
      <c r="L84" s="268">
        <f>N10</f>
        <v>1</v>
      </c>
      <c r="M84" s="268">
        <f>N11</f>
        <v>13</v>
      </c>
      <c r="N84" s="267">
        <f>O8</f>
        <v>2</v>
      </c>
      <c r="O84" s="267">
        <f>O9</f>
        <v>0.6666666666666666</v>
      </c>
      <c r="P84" s="268">
        <f>O10</f>
        <v>1</v>
      </c>
      <c r="Q84" s="268">
        <f>O11</f>
        <v>3</v>
      </c>
      <c r="R84" s="268">
        <f>F21</f>
        <v>18.259735537190082</v>
      </c>
      <c r="S84" s="268">
        <f>K11</f>
        <v>0</v>
      </c>
      <c r="T84" s="268">
        <f>K12</f>
        <v>7</v>
      </c>
      <c r="U84" s="268">
        <f>K13</f>
        <v>0</v>
      </c>
      <c r="V84" s="270">
        <f>K14</f>
        <v>0</v>
      </c>
      <c r="W84" s="271">
        <f>K15</f>
        <v>14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101</v>
      </c>
      <c r="R86" s="8"/>
      <c r="S86" s="223"/>
      <c r="T86" s="8"/>
      <c r="U86" s="8"/>
      <c r="V86" s="8"/>
    </row>
    <row r="87" spans="16:22" ht="12.75" hidden="1">
      <c r="P87" s="8"/>
      <c r="Q87" s="8" t="s">
        <v>102</v>
      </c>
      <c r="R87" s="8"/>
      <c r="S87" s="223">
        <f>VLOOKUP(MAX($S$23:$S$82),($S$23:$U$82),1,0)</f>
        <v>36</v>
      </c>
      <c r="T87" s="8"/>
      <c r="U87" s="8"/>
      <c r="V87" s="8"/>
    </row>
    <row r="88" spans="16:22" ht="12.75" hidden="1">
      <c r="P88" s="8"/>
      <c r="Q88" s="8" t="s">
        <v>103</v>
      </c>
      <c r="R88" s="8"/>
      <c r="S88" s="223">
        <f>VLOOKUP((S87),($S$23:$U$82),2,0)</f>
        <v>36</v>
      </c>
      <c r="T88" s="8"/>
      <c r="U88" s="8"/>
      <c r="V88" s="8"/>
    </row>
    <row r="89" spans="17:20" ht="12.75" hidden="1">
      <c r="Q89" s="8" t="s">
        <v>104</v>
      </c>
      <c r="R89" s="8"/>
      <c r="S89" s="223">
        <f>VLOOKUP((S87),($S$23:$U$82),3,0)</f>
        <v>4</v>
      </c>
      <c r="T89" s="8"/>
    </row>
    <row r="90" spans="17:20" ht="12.75">
      <c r="Q90" s="8" t="s">
        <v>105</v>
      </c>
      <c r="R90" s="8"/>
      <c r="S90" s="274">
        <f>IF(ISERROR(SUM($T$23:$T$82)/SUM($U$23:$U$82)),"",(SUM($T$23:$T$82)-S88)/(SUM($U$23:$U$82)-S89))</f>
        <v>6.509803921568627</v>
      </c>
      <c r="T90" s="8"/>
    </row>
    <row r="91" spans="17:21" ht="12.75">
      <c r="Q91" s="222" t="s">
        <v>106</v>
      </c>
      <c r="R91" s="222"/>
      <c r="S91" s="222" t="str">
        <f>INDEX('[1]liste reference'!$A$8:$A$904,$T$91)</f>
        <v>NUPLUT</v>
      </c>
      <c r="T91" s="8">
        <f>IF(ISERROR(MATCH($S$93,'[1]liste reference'!$A$8:$A$904,0)),MATCH($S$93,'[1]liste reference'!$B$8:$B$904,0),(MATCH($S$93,'[1]liste reference'!$A$8:$A$904,0)))</f>
        <v>389</v>
      </c>
      <c r="U91" s="263"/>
    </row>
    <row r="92" spans="17:20" ht="12.75">
      <c r="Q92" s="8" t="s">
        <v>107</v>
      </c>
      <c r="R92" s="8"/>
      <c r="S92" s="8">
        <f>MATCH(S87,$S$23:$S$82,0)</f>
        <v>12</v>
      </c>
      <c r="T92" s="8"/>
    </row>
    <row r="93" spans="17:20" ht="12.75">
      <c r="Q93" s="222" t="s">
        <v>108</v>
      </c>
      <c r="R93" s="8"/>
      <c r="S93" s="222" t="str">
        <f>INDEX($A$23:$A$82,$S$92)</f>
        <v>NUPLUT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2014-01-21T15:00:58Z</dcterms:created>
  <dcterms:modified xsi:type="dcterms:W3CDTF">2014-01-21T15:01:01Z</dcterms:modified>
  <cp:category/>
  <cp:version/>
  <cp:contentType/>
  <cp:contentStatus/>
</cp:coreProperties>
</file>