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<sst xmlns="http://schemas.openxmlformats.org/spreadsheetml/2006/main" count="220" uniqueCount="98">
  <si>
    <t>Relevés floristiques aquatiques - IBMR</t>
  </si>
  <si>
    <t xml:space="preserve">Formulaire modèle GIS Macrophytes v 3.1.1 - janvier 2013  </t>
  </si>
  <si>
    <t>SAGE</t>
  </si>
  <si>
    <t>CBERNARD LBOURGOIN</t>
  </si>
  <si>
    <t>conforme AFNOR T90-395 oct. 2003</t>
  </si>
  <si>
    <t>FORON DE TANINGES</t>
  </si>
  <si>
    <t>Foron De Taninges à Taninges</t>
  </si>
  <si>
    <t>06062400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</si>
  <si>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</si>
  <si>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</si>
  <si>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</si>
  <si>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</si>
  <si>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</si>
  <si>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</si>
  <si>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</si>
  <si>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</si>
  <si>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HYUSPX</t>
  </si>
  <si>
    <t>Faciès dominant</t>
  </si>
  <si>
    <t>radier</t>
  </si>
  <si>
    <t>pl. lent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</si>
  <si>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</si>
  <si>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</si>
  <si>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</si>
  <si>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</si>
  <si>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</si>
  <si>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</si>
  <si>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</si>
  <si>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</si>
  <si>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</si>
  <si>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</si>
  <si>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</si>
  <si>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</si>
  <si>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</si>
  <si>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</si>
  <si>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</si>
  <si>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</si>
  <si>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</si>
  <si>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</si>
  <si>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</si>
  <si>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</si>
  <si>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</si>
  <si>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</si>
  <si>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</si>
  <si>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</si>
  <si>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</si>
  <si>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</si>
  <si>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</si>
  <si>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</si>
  <si>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</si>
  <si>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</si>
  <si>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</si>
  <si>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</si>
  <si>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</si>
  <si>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</si>
  <si>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</si>
  <si>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</si>
  <si>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</si>
  <si>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</si>
  <si>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</si>
  <si>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</si>
  <si>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</si>
  <si>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</si>
  <si>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</si>
  <si>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</si>
  <si>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</si>
  <si>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</si>
  <si>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</si>
  <si>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</si>
  <si>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</si>
  <si>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</si>
  <si>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</si>
  <si>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</si>
  <si>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</si>
  <si>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</si>
  <si>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</si>
  <si>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</si>
  <si>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</si>
  <si>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</si>
  <si>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</si>
  <si>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</si>
  <si>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</si>
  <si>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PHOSPX</t>
  </si>
  <si>
    <t>SPISPX</t>
  </si>
  <si>
    <t>TOYSPX</t>
  </si>
  <si>
    <t>BRARIV</t>
  </si>
  <si>
    <t>CRACOM</t>
  </si>
  <si>
    <t>PETHYB</t>
  </si>
  <si>
    <t>newcod</t>
  </si>
  <si>
    <t>Homoeothrix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</si>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</sst>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>
        <color indexed="10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2" fontId="0" fillId="42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2" borderId="54" xfId="0" applyNumberFormat="1" applyFont="1" applyFill="1" applyBorder="1" applyAlignment="1" applyProtection="1">
      <alignment horizontal="center"/>
      <protection locked="0"/>
    </xf>
    <xf numFmtId="2" fontId="0" fillId="42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2" borderId="65" xfId="0" applyNumberFormat="1" applyFont="1" applyFill="1" applyBorder="1" applyAlignment="1" applyProtection="1">
      <alignment horizontal="center"/>
      <protection locked="0"/>
    </xf>
    <xf numFmtId="2" fontId="0" fillId="42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45" fillId="38" borderId="78" xfId="0" applyFont="1" applyFill="1" applyBorder="1" applyAlignment="1" applyProtection="1">
      <alignment horizontal="right"/>
      <protection locked="0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6790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8222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FORTA_16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C42" sqref="C42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41471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13.517241379310345</v>
      </c>
      <c r="M5" s="52"/>
      <c r="N5" s="53" t="s">
        <v>16</v>
      </c>
      <c r="O5" s="54">
        <v>12.869565217391305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12.428571428571429</v>
      </c>
      <c r="O8" s="84">
        <f>IF(ISERROR(AVERAGE(J23:J82)),"      -",AVERAGE(J23:J82))</f>
        <v>1.7142857142857142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24.2</v>
      </c>
      <c r="C9" s="87">
        <v>8.59</v>
      </c>
      <c r="D9" s="88"/>
      <c r="E9" s="88"/>
      <c r="F9" s="89">
        <f aca="true" t="shared" si="0" ref="F9:F15">($B9*$B$7+$C9*$C$7)/100</f>
        <v>21.078000000000003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3.245090483314442</v>
      </c>
      <c r="O9" s="84">
        <f>IF(ISERROR(STDEVP(J23:J82)),"      -",STDEVP(J23:J82))</f>
        <v>0.45175395145262565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6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16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23</v>
      </c>
      <c r="C12" s="120">
        <v>8.18</v>
      </c>
      <c r="D12" s="111"/>
      <c r="E12" s="111"/>
      <c r="F12" s="112">
        <f t="shared" si="0"/>
        <v>20.035999999999998</v>
      </c>
      <c r="G12" s="121"/>
      <c r="H12" s="67"/>
      <c r="I12" s="122" t="s">
        <v>39</v>
      </c>
      <c r="J12" s="123"/>
      <c r="K12" s="116">
        <f>COUNTIF($G$23:$G$82,"=ALG")</f>
        <v>6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1.2</v>
      </c>
      <c r="C13" s="120">
        <v>0.4</v>
      </c>
      <c r="D13" s="111"/>
      <c r="E13" s="111"/>
      <c r="F13" s="112">
        <f t="shared" si="0"/>
        <v>1.04</v>
      </c>
      <c r="G13" s="121"/>
      <c r="H13" s="67"/>
      <c r="I13" s="129" t="s">
        <v>41</v>
      </c>
      <c r="J13" s="123"/>
      <c r="K13" s="116">
        <f>COUNTIF($G$23:$G$82,"=BRm")+COUNTIF($G$23:$G$82,"=BRh")</f>
        <v>2</v>
      </c>
      <c r="L13" s="117"/>
      <c r="M13" s="130" t="s">
        <v>42</v>
      </c>
      <c r="N13" s="131">
        <f>COUNTIF(F23:F82,"&gt;0")</f>
        <v>10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>
        <v>0.01</v>
      </c>
      <c r="D15" s="111"/>
      <c r="E15" s="111"/>
      <c r="F15" s="112">
        <f t="shared" si="0"/>
        <v>0.002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48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5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24.2</v>
      </c>
      <c r="C17" s="120">
        <v>8.58</v>
      </c>
      <c r="D17" s="111"/>
      <c r="E17" s="111"/>
      <c r="F17" s="147"/>
      <c r="G17" s="112">
        <f>($B17*$B$7+$C17*$C$7)/100</f>
        <v>21.076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>
        <v>0.01</v>
      </c>
      <c r="D18" s="111"/>
      <c r="E18" s="152" t="s">
        <v>54</v>
      </c>
      <c r="F18" s="147"/>
      <c r="G18" s="112">
        <f>($B18*$B$7+$C18*$C$7)/100</f>
        <v>0.002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21.077999999999996</v>
      </c>
      <c r="G19" s="161">
        <f>SUM(G16:G18)</f>
        <v>21.078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24.214999999999996</v>
      </c>
      <c r="C20" s="171">
        <f>SUM(C23:C82)</f>
        <v>8.594</v>
      </c>
      <c r="D20" s="172"/>
      <c r="E20" s="173" t="s">
        <v>54</v>
      </c>
      <c r="F20" s="174">
        <f>($B20*$B$7+$C20*$C$7)/100</f>
        <v>21.090799999999998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19.372</v>
      </c>
      <c r="C21" s="184">
        <f>C20*C7/100</f>
        <v>1.7187999999999999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21.0908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0.008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0.008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6</v>
      </c>
      <c r="T23" s="222">
        <f aca="true" t="shared" si="5" ref="T23:T82">IF(ISERROR(R23*I23*J23),0,R23*I23*J23)</f>
        <v>6</v>
      </c>
      <c r="U23" s="222">
        <f aca="true" t="shared" si="6" ref="U23:U82">IF(ISERROR(R23*J23),0,R23*J23)</f>
        <v>1</v>
      </c>
      <c r="V23" s="223">
        <f aca="true" t="shared" si="7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80</v>
      </c>
      <c r="B24" s="229">
        <v>8.025</v>
      </c>
      <c r="C24" s="230">
        <v>3.0820000000000003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1"/>
        <v>7.0363999999999995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2"/>
        <v>7.0364</v>
      </c>
      <c r="R24" s="222">
        <f t="shared" si="3"/>
        <v>3</v>
      </c>
      <c r="S24" s="222">
        <f t="shared" si="4"/>
        <v>36</v>
      </c>
      <c r="T24" s="222">
        <f t="shared" si="5"/>
        <v>72</v>
      </c>
      <c r="U24" s="234">
        <f t="shared" si="6"/>
        <v>6</v>
      </c>
      <c r="V24" s="223">
        <f t="shared" si="7"/>
      </c>
      <c r="W24" s="224" t="s">
        <v>55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8"/>
        <v>1</v>
      </c>
    </row>
    <row r="25" spans="1:54" ht="12.75">
      <c r="A25" s="228" t="s">
        <v>16</v>
      </c>
      <c r="B25" s="229">
        <v>4.075</v>
      </c>
      <c r="C25" s="230">
        <v>0.08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Hydrurus sp.</v>
      </c>
      <c r="E25" s="231" t="e">
        <f>IF(D25="",,VLOOKUP(D25,D$22:D24,1,0))</f>
        <v>#N/A</v>
      </c>
      <c r="F25" s="232">
        <f t="shared" si="1"/>
        <v>3.2760000000000002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Hydrurus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6183</v>
      </c>
      <c r="Q25" s="221">
        <f t="shared" si="2"/>
        <v>3.276</v>
      </c>
      <c r="R25" s="222">
        <f t="shared" si="3"/>
        <v>3</v>
      </c>
      <c r="S25" s="222">
        <f t="shared" si="4"/>
        <v>48</v>
      </c>
      <c r="T25" s="222">
        <f t="shared" si="5"/>
        <v>96</v>
      </c>
      <c r="U25" s="234">
        <f t="shared" si="6"/>
        <v>6</v>
      </c>
      <c r="V25" s="223">
        <f t="shared" si="7"/>
      </c>
      <c r="W25" s="224" t="s">
        <v>55</v>
      </c>
      <c r="Y25" s="225" t="str">
        <f>IF(A25="new.cod","NEWCOD",IF(AND((Z25=""),ISTEXT(A25)),A25,IF(Z25="","",INDEX('[1]liste reference'!$A$8:$A$904,Z25))))</f>
        <v>HYUSPX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33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29">
        <v>10.035</v>
      </c>
      <c r="C26" s="230">
        <v>4.956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31" t="e">
        <f>IF(D26="",,VLOOKUP(D26,D$22:D25,1,0))</f>
        <v>#N/A</v>
      </c>
      <c r="F26" s="232">
        <f t="shared" si="1"/>
        <v>9.0192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21">
        <f t="shared" si="2"/>
        <v>9.019199999999998</v>
      </c>
      <c r="R26" s="222">
        <f t="shared" si="3"/>
        <v>3</v>
      </c>
      <c r="S26" s="222">
        <f t="shared" si="4"/>
        <v>39</v>
      </c>
      <c r="T26" s="222">
        <f t="shared" si="5"/>
        <v>78</v>
      </c>
      <c r="U26" s="234">
        <f t="shared" si="6"/>
        <v>6</v>
      </c>
      <c r="V26" s="223">
        <f t="shared" si="7"/>
      </c>
      <c r="W26" s="224" t="s">
        <v>55</v>
      </c>
      <c r="Y26" s="22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82</v>
      </c>
      <c r="B27" s="229">
        <v>0.8</v>
      </c>
      <c r="C27" s="230">
        <v>0.06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Spirogyra sp.</v>
      </c>
      <c r="E27" s="231" t="e">
        <f>IF(D27="",,VLOOKUP(D27,D$22:D26,1,0))</f>
        <v>#N/A</v>
      </c>
      <c r="F27" s="232">
        <f t="shared" si="1"/>
        <v>0.652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Spirogyra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1147</v>
      </c>
      <c r="Q27" s="221">
        <f t="shared" si="2"/>
        <v>0.652</v>
      </c>
      <c r="R27" s="222">
        <f t="shared" si="3"/>
        <v>2</v>
      </c>
      <c r="S27" s="222">
        <f t="shared" si="4"/>
        <v>20</v>
      </c>
      <c r="T27" s="222">
        <f t="shared" si="5"/>
        <v>20</v>
      </c>
      <c r="U27" s="234">
        <f t="shared" si="6"/>
        <v>2</v>
      </c>
      <c r="V27" s="223">
        <f t="shared" si="7"/>
      </c>
      <c r="W27" s="235" t="s">
        <v>55</v>
      </c>
      <c r="Y27" s="225" t="str">
        <f>IF(A27="new.cod","NEWCOD",IF(AND((Z27=""),ISTEXT(A27)),A27,IF(Z27="","",INDEX('[1]liste reference'!$A$8:$A$904,Z27))))</f>
        <v>SPISPX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69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83</v>
      </c>
      <c r="B28" s="229">
        <v>0.025</v>
      </c>
      <c r="C28" s="230">
        <v>0.006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Tolypothrix sp.</v>
      </c>
      <c r="E28" s="231" t="e">
        <f>IF(D28="",,VLOOKUP(D28,D$22:D27,1,0))</f>
        <v>#N/A</v>
      </c>
      <c r="F28" s="232">
        <f t="shared" si="1"/>
        <v>0.0212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Tolypothrix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6304</v>
      </c>
      <c r="Q28" s="221">
        <f t="shared" si="2"/>
        <v>0.0212</v>
      </c>
      <c r="R28" s="222">
        <f t="shared" si="3"/>
        <v>1</v>
      </c>
      <c r="S28" s="222">
        <f t="shared" si="4"/>
        <v>0</v>
      </c>
      <c r="T28" s="222">
        <f t="shared" si="5"/>
        <v>0</v>
      </c>
      <c r="U28" s="234">
        <f t="shared" si="6"/>
        <v>0</v>
      </c>
      <c r="V28" s="223">
        <f t="shared" si="7"/>
      </c>
      <c r="W28" s="224" t="s">
        <v>55</v>
      </c>
      <c r="Y28" s="225" t="str">
        <f>IF(A28="new.cod","NEWCOD",IF(AND((Z28=""),ISTEXT(A28)),A28,IF(Z28="","",INDEX('[1]liste reference'!$A$8:$A$904,Z28))))</f>
        <v>TOYSPX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79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84</v>
      </c>
      <c r="B29" s="229">
        <v>0.52</v>
      </c>
      <c r="C29" s="230">
        <v>0.2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Brachythecium rivulare</v>
      </c>
      <c r="E29" s="231" t="e">
        <f>IF(D29="",,VLOOKUP(D29,D$22:D28,1,0))</f>
        <v>#N/A</v>
      </c>
      <c r="F29" s="232">
        <f t="shared" si="1"/>
        <v>0.456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Brachythecium rivulare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1260</v>
      </c>
      <c r="Q29" s="221">
        <f t="shared" si="2"/>
        <v>0.456</v>
      </c>
      <c r="R29" s="222">
        <f t="shared" si="3"/>
        <v>2</v>
      </c>
      <c r="S29" s="222">
        <f t="shared" si="4"/>
        <v>30</v>
      </c>
      <c r="T29" s="222">
        <f t="shared" si="5"/>
        <v>60</v>
      </c>
      <c r="U29" s="234">
        <f t="shared" si="6"/>
        <v>4</v>
      </c>
      <c r="V29" s="223">
        <f t="shared" si="7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BRARIV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155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85</v>
      </c>
      <c r="B30" s="229">
        <v>0.7</v>
      </c>
      <c r="C30" s="230">
        <v>0.2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Cratoneuron commutatum</v>
      </c>
      <c r="E30" s="231" t="e">
        <f>IF(D30="",,VLOOKUP(D30,D$22:D29,1,0))</f>
        <v>#N/A</v>
      </c>
      <c r="F30" s="232">
        <f t="shared" si="1"/>
        <v>0.6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15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Cratoneuron commutatum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1232</v>
      </c>
      <c r="Q30" s="221">
        <f t="shared" si="2"/>
        <v>0.6000000000000001</v>
      </c>
      <c r="R30" s="222">
        <f t="shared" si="3"/>
        <v>2</v>
      </c>
      <c r="S30" s="222">
        <f t="shared" si="4"/>
        <v>30</v>
      </c>
      <c r="T30" s="222">
        <f t="shared" si="5"/>
        <v>60</v>
      </c>
      <c r="U30" s="234">
        <f t="shared" si="6"/>
        <v>4</v>
      </c>
      <c r="V30" s="223">
        <f t="shared" si="7"/>
      </c>
      <c r="W30" s="224" t="s">
        <v>55</v>
      </c>
      <c r="Y30" s="225" t="str">
        <f>IF(A30="new.cod","NEWCOD",IF(AND((Z30=""),ISTEXT(A30)),A30,IF(Z30="","",INDEX('[1]liste reference'!$A$8:$A$904,Z30))))</f>
        <v>CRACOM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177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86</v>
      </c>
      <c r="B31" s="229">
        <v>0</v>
      </c>
      <c r="C31" s="230">
        <v>0.01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Petasites hybridus</v>
      </c>
      <c r="E31" s="231" t="e">
        <f>IF(D31="",,VLOOKUP(D31,D$22:D30,1,0))</f>
        <v>#N/A</v>
      </c>
      <c r="F31" s="232">
        <f t="shared" si="1"/>
        <v>0.002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PHg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9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Petasites hybridus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1745</v>
      </c>
      <c r="Q31" s="221">
        <f t="shared" si="2"/>
        <v>0.002</v>
      </c>
      <c r="R31" s="222">
        <f t="shared" si="3"/>
        <v>1</v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>
        <f t="shared" si="7"/>
      </c>
      <c r="W31" s="224" t="s">
        <v>55</v>
      </c>
      <c r="Y31" s="225" t="str">
        <f>IF(A31="new.cod","NEWCOD",IF(AND((Z31=""),ISTEXT(A31)),A31,IF(Z31="","",INDEX('[1]liste reference'!$A$8:$A$904,Z31))))</f>
        <v>PETHYB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788</v>
      </c>
      <c r="AA31" s="226"/>
      <c r="AB31" s="227"/>
      <c r="AC31" s="227"/>
      <c r="BB31" s="8">
        <f t="shared" si="8"/>
        <v>1</v>
      </c>
    </row>
    <row r="32" spans="1:54" ht="15">
      <c r="A32" s="228" t="s">
        <v>87</v>
      </c>
      <c r="B32" s="229">
        <v>0.025</v>
      </c>
      <c r="C32" s="230">
        <v>0</v>
      </c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1"/>
        <v>0.02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    -</v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Homoeothrix sp.</v>
      </c>
      <c r="L32" s="233"/>
      <c r="M32" s="233"/>
      <c r="N32" s="233"/>
      <c r="O32" s="220"/>
      <c r="P32" s="220" t="str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No</v>
      </c>
      <c r="Q32" s="221">
        <f t="shared" si="2"/>
      </c>
      <c r="R32" s="222">
        <f t="shared" si="3"/>
      </c>
      <c r="S32" s="222">
        <f t="shared" si="4"/>
        <v>0</v>
      </c>
      <c r="T32" s="222">
        <f t="shared" si="5"/>
        <v>0</v>
      </c>
      <c r="U32" s="234">
        <f t="shared" si="6"/>
        <v>0</v>
      </c>
      <c r="V32" s="223">
        <f t="shared" si="7"/>
      </c>
      <c r="W32" s="224" t="s">
        <v>55</v>
      </c>
      <c r="Y32" s="225" t="str">
        <f>IF(A32="new.cod","NEWCOD",IF(AND((Z32=""),ISTEXT(A32)),A32,IF(Z32="","",INDEX('[1]liste reference'!$A$8:$A$904,Z32))))</f>
        <v>newcod</v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36" t="s">
        <v>88</v>
      </c>
      <c r="AC32" s="227"/>
      <c r="BB32" s="8">
        <f t="shared" si="8"/>
        <v>1</v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1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2"/>
      </c>
      <c r="R33" s="222">
        <f t="shared" si="3"/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>
        <f t="shared" si="7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8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7">
        <f t="shared" si="1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2"/>
      </c>
      <c r="R34" s="222">
        <f t="shared" si="3"/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8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7">
        <f t="shared" si="1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>
        <f t="shared" si="7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8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7">
        <f t="shared" si="1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8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7">
        <f t="shared" si="1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8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7">
        <f t="shared" si="1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8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7">
        <f t="shared" si="1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8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7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7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7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7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7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7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7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7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7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7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7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7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7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7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7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7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7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7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55</v>
      </c>
      <c r="X57" s="238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7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7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9"/>
      <c r="M59" s="239"/>
      <c r="N59" s="239"/>
      <c r="O59" s="220"/>
      <c r="P59" s="240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7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9"/>
      <c r="M60" s="239"/>
      <c r="N60" s="239"/>
      <c r="O60" s="220"/>
      <c r="P60" s="240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7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7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7">
        <f t="shared" si="1"/>
        <v>0</v>
      </c>
      <c r="G63" s="241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2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7">
        <f t="shared" si="1"/>
        <v>0</v>
      </c>
      <c r="G64" s="243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4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7">
        <f t="shared" si="1"/>
        <v>0</v>
      </c>
      <c r="G65" s="243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4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7">
        <f t="shared" si="1"/>
        <v>0</v>
      </c>
      <c r="G66" s="243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4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7">
        <f t="shared" si="1"/>
        <v>0</v>
      </c>
      <c r="G67" s="243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4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7">
        <f t="shared" si="1"/>
        <v>0</v>
      </c>
      <c r="G68" s="243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4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7">
        <f t="shared" si="1"/>
        <v>0</v>
      </c>
      <c r="G69" s="243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4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7">
        <f t="shared" si="1"/>
        <v>0</v>
      </c>
      <c r="G70" s="243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4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7">
        <f t="shared" si="1"/>
        <v>0</v>
      </c>
      <c r="G71" s="243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4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7">
        <f t="shared" si="1"/>
        <v>0</v>
      </c>
      <c r="G72" s="243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4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7">
        <f t="shared" si="1"/>
        <v>0</v>
      </c>
      <c r="G73" s="243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4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7">
        <f t="shared" si="1"/>
        <v>0</v>
      </c>
      <c r="G74" s="243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4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7">
        <f t="shared" si="1"/>
        <v>0</v>
      </c>
      <c r="G75" s="243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4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7">
        <f t="shared" si="1"/>
        <v>0</v>
      </c>
      <c r="G76" s="243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4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7">
        <f t="shared" si="1"/>
        <v>0</v>
      </c>
      <c r="G77" s="243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4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7">
        <f t="shared" si="1"/>
        <v>0</v>
      </c>
      <c r="G78" s="243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4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7">
        <f t="shared" si="1"/>
        <v>0</v>
      </c>
      <c r="G79" s="243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4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7">
        <f t="shared" si="1"/>
        <v>0</v>
      </c>
      <c r="G80" s="243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4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7">
        <f t="shared" si="1"/>
        <v>0</v>
      </c>
      <c r="G81" s="243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4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9"/>
      <c r="M81" s="239"/>
      <c r="N81" s="239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55</v>
      </c>
      <c r="X81" s="245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6" t="s">
        <v>55</v>
      </c>
      <c r="B82" s="247"/>
      <c r="C82" s="248"/>
      <c r="D82" s="249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50">
        <f>IF(D82="",,VLOOKUP(D82,D$20:D80,1,0))</f>
        <v>0</v>
      </c>
      <c r="F82" s="251">
        <f t="shared" si="1"/>
        <v>0</v>
      </c>
      <c r="G82" s="252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3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4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5"/>
      <c r="M82" s="255"/>
      <c r="N82" s="255"/>
      <c r="O82" s="256"/>
      <c r="P82" s="257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8" t="s">
        <v>55</v>
      </c>
      <c r="X82" s="259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60" t="s">
        <v>89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1"/>
      <c r="Q83" s="261"/>
      <c r="R83" s="261"/>
      <c r="S83" s="261"/>
      <c r="T83" s="8"/>
      <c r="U83" s="8"/>
      <c r="V83" s="261"/>
      <c r="W83" s="261"/>
      <c r="X83" s="261"/>
      <c r="Y83" s="262"/>
      <c r="Z83" s="262"/>
      <c r="AA83" s="263"/>
      <c r="AB83" s="264"/>
      <c r="AC83" s="264"/>
      <c r="AD83" s="264"/>
    </row>
    <row r="84" spans="1:30" ht="12.75" hidden="1">
      <c r="A84" s="265" t="str">
        <f>A3</f>
        <v>FORON DE TANINGES</v>
      </c>
      <c r="B84" s="266" t="str">
        <f>C3</f>
        <v>Foron De Taninges à Taninges</v>
      </c>
      <c r="C84" s="267">
        <f>A4</f>
        <v>41471</v>
      </c>
      <c r="D84" s="268">
        <f>IF(ISERROR(SUM($T$23:$T$82)/SUM($U$23:$U$82)),"",SUM($T$23:$T$82)/SUM($U$23:$U$82))</f>
        <v>13.517241379310345</v>
      </c>
      <c r="E84" s="269">
        <f>N13</f>
        <v>10</v>
      </c>
      <c r="F84" s="266">
        <f>N14</f>
        <v>7</v>
      </c>
      <c r="G84" s="266">
        <f>N15</f>
        <v>2</v>
      </c>
      <c r="H84" s="266">
        <f>N16</f>
        <v>5</v>
      </c>
      <c r="I84" s="266">
        <f>N17</f>
        <v>0</v>
      </c>
      <c r="J84" s="270">
        <f>N8</f>
        <v>12.428571428571429</v>
      </c>
      <c r="K84" s="268">
        <f>N9</f>
        <v>3.245090483314442</v>
      </c>
      <c r="L84" s="269">
        <f>N10</f>
        <v>6</v>
      </c>
      <c r="M84" s="269">
        <f>N11</f>
        <v>16</v>
      </c>
      <c r="N84" s="268">
        <f>O8</f>
        <v>1.7142857142857142</v>
      </c>
      <c r="O84" s="268">
        <f>O9</f>
        <v>0.45175395145262565</v>
      </c>
      <c r="P84" s="269">
        <f>O10</f>
        <v>1</v>
      </c>
      <c r="Q84" s="269">
        <f>O11</f>
        <v>2</v>
      </c>
      <c r="R84" s="269">
        <f>F21</f>
        <v>21.0908</v>
      </c>
      <c r="S84" s="269">
        <f>K11</f>
        <v>0</v>
      </c>
      <c r="T84" s="269">
        <f>K12</f>
        <v>6</v>
      </c>
      <c r="U84" s="269">
        <f>K13</f>
        <v>2</v>
      </c>
      <c r="V84" s="271">
        <f>K14</f>
        <v>0</v>
      </c>
      <c r="W84" s="272">
        <f>K15</f>
        <v>1</v>
      </c>
      <c r="Z84" s="273"/>
      <c r="AA84" s="273"/>
      <c r="AB84" s="264"/>
      <c r="AC84" s="264"/>
      <c r="AD84" s="264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4" t="s">
        <v>90</v>
      </c>
      <c r="R86" s="8"/>
      <c r="S86" s="223"/>
      <c r="T86" s="8"/>
      <c r="U86" s="8"/>
      <c r="V86" s="8"/>
    </row>
    <row r="87" spans="16:22" ht="12.75" hidden="1">
      <c r="P87" s="8"/>
      <c r="Q87" s="8" t="s">
        <v>91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92</v>
      </c>
      <c r="R88" s="8"/>
      <c r="S88" s="223">
        <f>VLOOKUP((S87),($S$23:$U$82),2,0)</f>
        <v>96</v>
      </c>
      <c r="T88" s="8"/>
      <c r="U88" s="8"/>
      <c r="V88" s="8"/>
    </row>
    <row r="89" spans="17:20" ht="12.75" hidden="1">
      <c r="Q89" s="8" t="s">
        <v>93</v>
      </c>
      <c r="R89" s="8"/>
      <c r="S89" s="223">
        <f>VLOOKUP((S87),($S$23:$U$82),3,0)</f>
        <v>6</v>
      </c>
      <c r="T89" s="8"/>
    </row>
    <row r="90" spans="17:20" ht="12.75">
      <c r="Q90" s="8" t="s">
        <v>94</v>
      </c>
      <c r="R90" s="8"/>
      <c r="S90" s="275">
        <f>IF(ISERROR(SUM($T$23:$T$82)/SUM($U$23:$U$82)),"",(SUM($T$23:$T$82)-S88)/(SUM($U$23:$U$82)-S89))</f>
        <v>12.869565217391305</v>
      </c>
      <c r="T90" s="8"/>
    </row>
    <row r="91" spans="17:21" ht="12.75">
      <c r="Q91" s="222" t="s">
        <v>95</v>
      </c>
      <c r="R91" s="222"/>
      <c r="S91" s="222" t="str">
        <f>INDEX('[1]liste reference'!$A$8:$A$904,$T$91)</f>
        <v>HYUSPX</v>
      </c>
      <c r="T91" s="8">
        <f>IF(ISERROR(MATCH($S$93,'[1]liste reference'!$A$8:$A$904,0)),MATCH($S$93,'[1]liste reference'!$B$8:$B$904,0),(MATCH($S$93,'[1]liste reference'!$A$8:$A$904,0)))</f>
        <v>33</v>
      </c>
      <c r="U91" s="264"/>
    </row>
    <row r="92" spans="17:20" ht="12.75">
      <c r="Q92" s="8" t="s">
        <v>96</v>
      </c>
      <c r="R92" s="8"/>
      <c r="S92" s="8">
        <f>MATCH(S87,$S$23:$S$82,0)</f>
        <v>3</v>
      </c>
      <c r="T92" s="8"/>
    </row>
    <row r="93" spans="17:20" ht="12.75">
      <c r="Q93" s="222" t="s">
        <v>97</v>
      </c>
      <c r="R93" s="8"/>
      <c r="S93" s="222" t="str">
        <f>INDEX($A$23:$A$82,$S$92)</f>
        <v>HYUSPX</v>
      </c>
      <c r="T93" s="8"/>
    </row>
    <row r="94" ht="12.75">
      <c r="S94" s="264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2013-12-19T09:17:07Z</dcterms:created>
  <dcterms:modified xsi:type="dcterms:W3CDTF">2013-12-19T09:17:15Z</dcterms:modified>
  <cp:category/>
  <cp:version/>
  <cp:contentType/>
  <cp:contentStatus/>
</cp:coreProperties>
</file>