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<sst xmlns="http://schemas.openxmlformats.org/spreadsheetml/2006/main" count="217" uniqueCount="98">
  <si>
    <t>Relevés floristiques aquatiques - IBMR</t>
  </si>
  <si>
    <t xml:space="preserve">Formulaire modèle GIS Macrophytes v 3.1.1 - janvier 2013  </t>
  </si>
  <si>
    <t>SAGE</t>
  </si>
  <si>
    <t>C.BERNARD L.BOURGOIN</t>
  </si>
  <si>
    <t>conforme AFNOR T90-395 oct. 2003</t>
  </si>
  <si>
    <t>Borne</t>
  </si>
  <si>
    <t>BORNE A ST PIERRE EN FAUCIGNY</t>
  </si>
  <si>
    <t>06063500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</si>
  <si>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</si>
  <si>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</si>
  <si>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</si>
  <si>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</si>
  <si>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</si>
  <si>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</si>
  <si>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</si>
  <si>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</si>
  <si>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HYUSPX</t>
  </si>
  <si>
    <t>Faciès dominant</t>
  </si>
  <si>
    <t>pl. courant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</si>
  <si>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</si>
  <si>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</si>
  <si>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</si>
  <si>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</si>
  <si>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</si>
  <si>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</si>
  <si>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</si>
  <si>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</si>
  <si>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</si>
  <si>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</si>
  <si>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</si>
  <si>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</si>
  <si>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</si>
  <si>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</si>
  <si>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</si>
  <si>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</si>
  <si>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</si>
  <si>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</si>
  <si>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</si>
  <si>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</si>
  <si>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</si>
  <si>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</si>
  <si>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</si>
  <si>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</si>
  <si>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</si>
  <si>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</si>
  <si>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</si>
  <si>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</si>
  <si>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</si>
  <si>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</si>
  <si>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</si>
  <si>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</si>
  <si>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</si>
  <si>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</si>
  <si>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</si>
  <si>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</si>
  <si>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</si>
  <si>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</si>
  <si>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</si>
  <si>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</si>
  <si>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</si>
  <si>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</si>
  <si>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</si>
  <si>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</si>
  <si>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</si>
  <si>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</si>
  <si>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</si>
  <si>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</si>
  <si>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</si>
  <si>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</si>
  <si>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</si>
  <si>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</si>
  <si>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</si>
  <si>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</si>
  <si>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</si>
  <si>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</si>
  <si>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</si>
  <si>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</si>
  <si>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</si>
  <si>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BANSPX</t>
  </si>
  <si>
    <t>CLASPX</t>
  </si>
  <si>
    <t>NOSSPX</t>
  </si>
  <si>
    <t>VAUSPX</t>
  </si>
  <si>
    <t>AMBTEN</t>
  </si>
  <si>
    <t>BRARIV</t>
  </si>
  <si>
    <t>CINFON</t>
  </si>
  <si>
    <t>CINRIP</t>
  </si>
  <si>
    <t>CRAFIL</t>
  </si>
  <si>
    <t>RHYRIP</t>
  </si>
  <si>
    <t>EQUFLU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</si>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</sst>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ORPI_15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X19" sqref="X19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41470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12.833333333333334</v>
      </c>
      <c r="M5" s="52"/>
      <c r="N5" s="53" t="s">
        <v>16</v>
      </c>
      <c r="O5" s="54">
        <v>12.041666666666666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99</v>
      </c>
      <c r="C7" s="65">
        <v>1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11.833333333333334</v>
      </c>
      <c r="O8" s="81">
        <f>IF(ISERROR(AVERAGE(J23:J82)),"      -",AVERAGE(J23:J82))</f>
        <v>1.75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11.36</v>
      </c>
      <c r="C9" s="84">
        <v>22.65</v>
      </c>
      <c r="D9" s="85"/>
      <c r="E9" s="85"/>
      <c r="F9" s="86">
        <f aca="true" t="shared" si="0" ref="F9:F15">($B9*$B$7+$C9*$C$7)/100</f>
        <v>11.4729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3.912231531435167</v>
      </c>
      <c r="O9" s="81">
        <f>IF(ISERROR(STDEVP(J23:J82)),"      -",STDEVP(J23:J82))</f>
        <v>0.5951190357119042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35</v>
      </c>
      <c r="J11" s="273"/>
      <c r="K11" s="111">
        <f>COUNTIF($G$23:$G$82,"=HET")</f>
        <v>0</v>
      </c>
      <c r="L11" s="112"/>
      <c r="M11" s="102" t="s">
        <v>36</v>
      </c>
      <c r="N11" s="103">
        <f>MAX(I23:I82)</f>
        <v>18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11.04</v>
      </c>
      <c r="C12" s="115">
        <v>16.05</v>
      </c>
      <c r="D12" s="108"/>
      <c r="E12" s="108"/>
      <c r="F12" s="109">
        <f t="shared" si="0"/>
        <v>11.090099999999998</v>
      </c>
      <c r="G12" s="116"/>
      <c r="H12" s="66"/>
      <c r="I12" s="274" t="s">
        <v>38</v>
      </c>
      <c r="J12" s="265"/>
      <c r="K12" s="111">
        <f>COUNTIF($G$23:$G$82,"=ALG")</f>
        <v>5</v>
      </c>
      <c r="L12" s="117"/>
      <c r="M12" s="118"/>
      <c r="N12" s="119" t="s">
        <v>32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>
        <v>0.31</v>
      </c>
      <c r="C13" s="115">
        <v>6.6</v>
      </c>
      <c r="D13" s="108"/>
      <c r="E13" s="108"/>
      <c r="F13" s="109">
        <f t="shared" si="0"/>
        <v>0.3729</v>
      </c>
      <c r="G13" s="116"/>
      <c r="H13" s="66"/>
      <c r="I13" s="264" t="s">
        <v>40</v>
      </c>
      <c r="J13" s="265"/>
      <c r="K13" s="111">
        <f>COUNTIF($G$23:$G$82,"=BRm")+COUNTIF($G$23:$G$82,"=BRh")</f>
        <v>6</v>
      </c>
      <c r="L13" s="112"/>
      <c r="M13" s="122" t="s">
        <v>41</v>
      </c>
      <c r="N13" s="123">
        <f>COUNTIF(F23:F82,"&gt;0")</f>
        <v>12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>
        <v>0.01</v>
      </c>
      <c r="C14" s="115"/>
      <c r="D14" s="108"/>
      <c r="E14" s="108"/>
      <c r="F14" s="109">
        <f t="shared" si="0"/>
        <v>0.009899999999999999</v>
      </c>
      <c r="G14" s="116"/>
      <c r="H14" s="66"/>
      <c r="I14" s="264" t="s">
        <v>43</v>
      </c>
      <c r="J14" s="265"/>
      <c r="K14" s="111">
        <f>COUNTIF($G$23:$G$82,"=PTE")+COUNTIF($G$23:$G$82,"=LIC")</f>
        <v>1</v>
      </c>
      <c r="L14" s="112"/>
      <c r="M14" s="126" t="s">
        <v>44</v>
      </c>
      <c r="N14" s="127">
        <f>COUNTIF($I$23:$I$82,"&gt;-1")</f>
        <v>12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45</v>
      </c>
      <c r="B15" s="130"/>
      <c r="C15" s="131"/>
      <c r="D15" s="108"/>
      <c r="E15" s="108"/>
      <c r="F15" s="109">
        <f t="shared" si="0"/>
        <v>0</v>
      </c>
      <c r="G15" s="116"/>
      <c r="H15" s="66"/>
      <c r="I15" s="264" t="s">
        <v>46</v>
      </c>
      <c r="J15" s="265"/>
      <c r="K15" s="111">
        <f>(COUNTIF($G$23:$G$82,"=PHy"))+(COUNTIF($G$23:$G$82,"=PHe"))+(COUNTIF($G$23:$G$82,"=PHg"))+(COUNTIF($G$23:$G$82,"=PHx"))</f>
        <v>0</v>
      </c>
      <c r="L15" s="112"/>
      <c r="M15" s="132" t="s">
        <v>47</v>
      </c>
      <c r="N15" s="133">
        <f>COUNTIF(J23:J82,"=1")</f>
        <v>4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49</v>
      </c>
      <c r="N16" s="133">
        <f>COUNTIF(J23:J82,"=2")</f>
        <v>7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11.35</v>
      </c>
      <c r="C17" s="115">
        <v>22.65</v>
      </c>
      <c r="D17" s="108"/>
      <c r="E17" s="108"/>
      <c r="F17" s="139"/>
      <c r="G17" s="109">
        <f>($B17*$B$7+$C17*$C$7)/100</f>
        <v>11.463</v>
      </c>
      <c r="H17" s="66"/>
      <c r="I17" s="264"/>
      <c r="J17" s="265"/>
      <c r="K17" s="138"/>
      <c r="L17" s="112"/>
      <c r="M17" s="132" t="s">
        <v>51</v>
      </c>
      <c r="N17" s="133">
        <f>COUNTIF(J23:J82,"=3")</f>
        <v>1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>
        <v>0.01</v>
      </c>
      <c r="C18" s="143"/>
      <c r="D18" s="108"/>
      <c r="E18" s="144" t="s">
        <v>53</v>
      </c>
      <c r="F18" s="139"/>
      <c r="G18" s="109">
        <f>($B18*$B$7+$C18*$C$7)/100</f>
        <v>0.009899999999999999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11.472899999999997</v>
      </c>
      <c r="G19" s="153">
        <f>SUM(G16:G18)</f>
        <v>11.4729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11.36</v>
      </c>
      <c r="C20" s="163">
        <f>SUM(C23:C82)</f>
        <v>22.650000000000002</v>
      </c>
      <c r="D20" s="164"/>
      <c r="E20" s="165" t="s">
        <v>53</v>
      </c>
      <c r="F20" s="166">
        <f>($B20*$B$7+$C20*$C$7)/100</f>
        <v>11.4729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11.2464</v>
      </c>
      <c r="C21" s="176">
        <f>C20*C7/100</f>
        <v>0.22650000000000003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11.4729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5"/>
      <c r="E22" s="135"/>
      <c r="F22" s="189" t="s">
        <v>61</v>
      </c>
      <c r="G22" s="190" t="s">
        <v>62</v>
      </c>
      <c r="H22" s="135"/>
      <c r="I22" s="191" t="s">
        <v>63</v>
      </c>
      <c r="J22" s="191" t="s">
        <v>64</v>
      </c>
      <c r="K22" s="266" t="s">
        <v>65</v>
      </c>
      <c r="L22" s="266"/>
      <c r="M22" s="266"/>
      <c r="N22" s="266"/>
      <c r="O22" s="267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2.75">
      <c r="A23" s="200" t="s">
        <v>78</v>
      </c>
      <c r="B23" s="201">
        <v>0.01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Bangia sp.</v>
      </c>
      <c r="E23" s="203" t="e">
        <f>IF(D23="",,VLOOKUP(D23,D$22:D22,1,0))</f>
        <v>#N/A</v>
      </c>
      <c r="F23" s="204">
        <f aca="true" t="shared" si="1" ref="F23:F82">($B23*$B$7+$C23*$C$7)/100</f>
        <v>0.009899999999999999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10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Bangia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1153</v>
      </c>
      <c r="Q23" s="211">
        <f aca="true" t="shared" si="2" ref="Q23:Q82">IF(ISTEXT(H23),"",(B23*$B$7/100)+(C23*$C$7/100))</f>
        <v>0.009899999999999999</v>
      </c>
      <c r="R23" s="212">
        <f aca="true" t="shared" si="3" ref="R23:R82">IF(OR(ISTEXT(H23),Q23=0),"",IF(Q23&lt;0.1,1,IF(Q23&lt;1,2,IF(Q23&lt;10,3,IF(Q23&lt;50,4,IF(Q23&gt;=50,5,""))))))</f>
        <v>1</v>
      </c>
      <c r="S23" s="212">
        <f aca="true" t="shared" si="4" ref="S23:S82">IF(ISERROR(R23*I23),0,R23*I23)</f>
        <v>10</v>
      </c>
      <c r="T23" s="212">
        <f aca="true" t="shared" si="5" ref="T23:T82">IF(ISERROR(R23*I23*J23),0,R23*I23*J23)</f>
        <v>20</v>
      </c>
      <c r="U23" s="212">
        <f aca="true" t="shared" si="6" ref="U23:U82">IF(ISERROR(R23*J23),0,R23*J23)</f>
        <v>2</v>
      </c>
      <c r="V23" s="213">
        <f aca="true" t="shared" si="7" ref="V23:V82">IF(AND(A23="",F23=0),"",IF(F23=0,"Il manque le(s) % de rec. !",""))</f>
      </c>
      <c r="W23" s="214" t="s">
        <v>54</v>
      </c>
      <c r="Y23" s="215" t="str">
        <f>IF(A23="new.cod","NEWCOD",IF(AND((Z23=""),ISTEXT(A23)),A23,IF(Z23="","",INDEX('[1]liste reference'!$A$8:$A$904,Z23))))</f>
        <v>BANSPX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6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79</v>
      </c>
      <c r="B24" s="219">
        <v>7.01</v>
      </c>
      <c r="C24" s="220">
        <v>15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Cladophora sp.</v>
      </c>
      <c r="E24" s="221" t="e">
        <f>IF(D24="",,VLOOKUP(D24,D$22:D23,1,0))</f>
        <v>#N/A</v>
      </c>
      <c r="F24" s="222">
        <f t="shared" si="1"/>
        <v>7.0899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Cladophora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1124</v>
      </c>
      <c r="Q24" s="211">
        <f t="shared" si="2"/>
        <v>7.0899</v>
      </c>
      <c r="R24" s="212">
        <f t="shared" si="3"/>
        <v>3</v>
      </c>
      <c r="S24" s="212">
        <f t="shared" si="4"/>
        <v>18</v>
      </c>
      <c r="T24" s="212">
        <f t="shared" si="5"/>
        <v>18</v>
      </c>
      <c r="U24" s="224">
        <f t="shared" si="6"/>
        <v>3</v>
      </c>
      <c r="V24" s="213">
        <f t="shared" si="7"/>
      </c>
      <c r="W24" s="214" t="s">
        <v>54</v>
      </c>
      <c r="Y24" s="215" t="str">
        <f>IF(A24="new.cod","NEWCOD",IF(AND((Z24=""),ISTEXT(A24)),A24,IF(Z24="","",INDEX('[1]liste reference'!$A$8:$A$904,Z24))))</f>
        <v>CLASPX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23</v>
      </c>
      <c r="AA24" s="216"/>
      <c r="AB24" s="217"/>
      <c r="AC24" s="217"/>
      <c r="BB24" s="8">
        <f t="shared" si="8"/>
        <v>1</v>
      </c>
    </row>
    <row r="25" spans="1:54" ht="12.75">
      <c r="A25" s="218" t="s">
        <v>16</v>
      </c>
      <c r="B25" s="219">
        <v>4</v>
      </c>
      <c r="C25" s="220">
        <v>0.05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Hydrurus sp.</v>
      </c>
      <c r="E25" s="221" t="e">
        <f>IF(D25="",,VLOOKUP(D25,D$22:D24,1,0))</f>
        <v>#N/A</v>
      </c>
      <c r="F25" s="222">
        <f t="shared" si="1"/>
        <v>3.9605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16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Hydrurus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6183</v>
      </c>
      <c r="Q25" s="211">
        <f t="shared" si="2"/>
        <v>3.9605</v>
      </c>
      <c r="R25" s="212">
        <f t="shared" si="3"/>
        <v>3</v>
      </c>
      <c r="S25" s="212">
        <f t="shared" si="4"/>
        <v>48</v>
      </c>
      <c r="T25" s="212">
        <f t="shared" si="5"/>
        <v>96</v>
      </c>
      <c r="U25" s="224">
        <f t="shared" si="6"/>
        <v>6</v>
      </c>
      <c r="V25" s="213">
        <f t="shared" si="7"/>
      </c>
      <c r="W25" s="214" t="s">
        <v>54</v>
      </c>
      <c r="Y25" s="215" t="str">
        <f>IF(A25="new.cod","NEWCOD",IF(AND((Z25=""),ISTEXT(A25)),A25,IF(Z25="","",INDEX('[1]liste reference'!$A$8:$A$904,Z25))))</f>
        <v>HYUSPX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33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80</v>
      </c>
      <c r="B26" s="219">
        <v>0.01</v>
      </c>
      <c r="C26" s="220">
        <v>1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Nostoc sp.</v>
      </c>
      <c r="E26" s="221" t="e">
        <f>IF(D26="",,VLOOKUP(D26,D$22:D25,1,0))</f>
        <v>#N/A</v>
      </c>
      <c r="F26" s="222">
        <f t="shared" si="1"/>
        <v>0.0199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9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Nostoc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1105</v>
      </c>
      <c r="Q26" s="211">
        <f t="shared" si="2"/>
        <v>0.0199</v>
      </c>
      <c r="R26" s="212">
        <f t="shared" si="3"/>
        <v>1</v>
      </c>
      <c r="S26" s="212">
        <f t="shared" si="4"/>
        <v>9</v>
      </c>
      <c r="T26" s="212">
        <f t="shared" si="5"/>
        <v>9</v>
      </c>
      <c r="U26" s="224">
        <f t="shared" si="6"/>
        <v>1</v>
      </c>
      <c r="V26" s="213">
        <f t="shared" si="7"/>
      </c>
      <c r="W26" s="214" t="s">
        <v>54</v>
      </c>
      <c r="Y26" s="215" t="str">
        <f>IF(A26="new.cod","NEWCOD",IF(AND((Z26=""),ISTEXT(A26)),A26,IF(Z26="","",INDEX('[1]liste reference'!$A$8:$A$904,Z26))))</f>
        <v>NOSSPX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54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81</v>
      </c>
      <c r="B27" s="219">
        <v>0.01</v>
      </c>
      <c r="C27" s="220">
        <v>0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Vaucheria sp.</v>
      </c>
      <c r="E27" s="221" t="e">
        <f>IF(D27="",,VLOOKUP(D27,D$22:D26,1,0))</f>
        <v>#N/A</v>
      </c>
      <c r="F27" s="222">
        <f t="shared" si="1"/>
        <v>0.009899999999999999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Vaucheria sp.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11">
        <f t="shared" si="2"/>
        <v>0.009899999999999999</v>
      </c>
      <c r="R27" s="212">
        <f t="shared" si="3"/>
        <v>1</v>
      </c>
      <c r="S27" s="212">
        <f t="shared" si="4"/>
        <v>4</v>
      </c>
      <c r="T27" s="212">
        <f t="shared" si="5"/>
        <v>4</v>
      </c>
      <c r="U27" s="224">
        <f t="shared" si="6"/>
        <v>1</v>
      </c>
      <c r="V27" s="213">
        <f t="shared" si="7"/>
      </c>
      <c r="W27" s="225" t="s">
        <v>54</v>
      </c>
      <c r="Y27" s="215" t="str">
        <f>IF(A27="new.cod","NEWCOD",IF(AND((Z27=""),ISTEXT(A27)),A27,IF(Z27="","",INDEX('[1]liste reference'!$A$8:$A$904,Z27))))</f>
        <v>VAUSPX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82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82</v>
      </c>
      <c r="B28" s="219">
        <v>0.01</v>
      </c>
      <c r="C28" s="220">
        <v>0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Amblystegium tenax</v>
      </c>
      <c r="E28" s="221" t="e">
        <f>IF(D28="",,VLOOKUP(D28,D$22:D27,1,0))</f>
        <v>#N/A</v>
      </c>
      <c r="F28" s="222">
        <f t="shared" si="1"/>
        <v>0.009899999999999999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15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Amblystegium tenax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10210</v>
      </c>
      <c r="Q28" s="211">
        <f t="shared" si="2"/>
        <v>0.009899999999999999</v>
      </c>
      <c r="R28" s="212">
        <f t="shared" si="3"/>
        <v>1</v>
      </c>
      <c r="S28" s="212">
        <f t="shared" si="4"/>
        <v>15</v>
      </c>
      <c r="T28" s="212">
        <f t="shared" si="5"/>
        <v>30</v>
      </c>
      <c r="U28" s="224">
        <f t="shared" si="6"/>
        <v>2</v>
      </c>
      <c r="V28" s="213">
        <f t="shared" si="7"/>
      </c>
      <c r="W28" s="214" t="s">
        <v>54</v>
      </c>
      <c r="Y28" s="215" t="str">
        <f>IF(A28="new.cod","NEWCOD",IF(AND((Z28=""),ISTEXT(A28)),A28,IF(Z28="","",INDEX('[1]liste reference'!$A$8:$A$904,Z28))))</f>
        <v>AMBTEN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150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83</v>
      </c>
      <c r="B29" s="219">
        <v>0</v>
      </c>
      <c r="C29" s="220">
        <v>1.5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Brachythecium rivulare</v>
      </c>
      <c r="E29" s="221" t="e">
        <f>IF(D29="",,VLOOKUP(D29,D$22:D28,1,0))</f>
        <v>#N/A</v>
      </c>
      <c r="F29" s="222">
        <f t="shared" si="1"/>
        <v>0.015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15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Brachythecium rivulare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1260</v>
      </c>
      <c r="Q29" s="211">
        <f t="shared" si="2"/>
        <v>0.015</v>
      </c>
      <c r="R29" s="212">
        <f t="shared" si="3"/>
        <v>1</v>
      </c>
      <c r="S29" s="212">
        <f t="shared" si="4"/>
        <v>15</v>
      </c>
      <c r="T29" s="212">
        <f t="shared" si="5"/>
        <v>30</v>
      </c>
      <c r="U29" s="224">
        <f t="shared" si="6"/>
        <v>2</v>
      </c>
      <c r="V29" s="213">
        <f t="shared" si="7"/>
      </c>
      <c r="W29" s="214" t="s">
        <v>54</v>
      </c>
      <c r="X29" s="214"/>
      <c r="Y29" s="215" t="str">
        <f>IF(A29="new.cod","NEWCOD",IF(AND((Z29=""),ISTEXT(A29)),A29,IF(Z29="","",INDEX('[1]liste reference'!$A$8:$A$904,Z29))))</f>
        <v>BRARIV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155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84</v>
      </c>
      <c r="B30" s="219">
        <v>0.05</v>
      </c>
      <c r="C30" s="220">
        <v>0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Cinclidotus fontinaloides</v>
      </c>
      <c r="E30" s="221" t="e">
        <f>IF(D30="",,VLOOKUP(D30,D$22:D29,1,0))</f>
        <v>#N/A</v>
      </c>
      <c r="F30" s="222">
        <f t="shared" si="1"/>
        <v>0.0495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Cinclidotus fontinaloides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1320</v>
      </c>
      <c r="Q30" s="211">
        <f t="shared" si="2"/>
        <v>0.0495</v>
      </c>
      <c r="R30" s="212">
        <f t="shared" si="3"/>
        <v>1</v>
      </c>
      <c r="S30" s="212">
        <f t="shared" si="4"/>
        <v>12</v>
      </c>
      <c r="T30" s="212">
        <f t="shared" si="5"/>
        <v>24</v>
      </c>
      <c r="U30" s="224">
        <f t="shared" si="6"/>
        <v>2</v>
      </c>
      <c r="V30" s="213">
        <f t="shared" si="7"/>
      </c>
      <c r="W30" s="214" t="s">
        <v>54</v>
      </c>
      <c r="Y30" s="215" t="str">
        <f>IF(A30="new.cod","NEWCOD",IF(AND((Z30=""),ISTEXT(A30)),A30,IF(Z30="","",INDEX('[1]liste reference'!$A$8:$A$904,Z30))))</f>
        <v>CINFON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172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85</v>
      </c>
      <c r="B31" s="219">
        <v>0.1</v>
      </c>
      <c r="C31" s="220">
        <v>0.1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Cinclidotus riparius</v>
      </c>
      <c r="E31" s="221" t="e">
        <f>IF(D31="",,VLOOKUP(D31,D$22:D30,1,0))</f>
        <v>#N/A</v>
      </c>
      <c r="F31" s="222">
        <f t="shared" si="1"/>
        <v>0.1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13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Cinclidotus riparius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1321</v>
      </c>
      <c r="Q31" s="211">
        <f t="shared" si="2"/>
        <v>0.1</v>
      </c>
      <c r="R31" s="212">
        <f t="shared" si="3"/>
        <v>2</v>
      </c>
      <c r="S31" s="212">
        <f t="shared" si="4"/>
        <v>26</v>
      </c>
      <c r="T31" s="212">
        <f t="shared" si="5"/>
        <v>52</v>
      </c>
      <c r="U31" s="224">
        <f t="shared" si="6"/>
        <v>4</v>
      </c>
      <c r="V31" s="213">
        <f t="shared" si="7"/>
      </c>
      <c r="W31" s="214" t="s">
        <v>54</v>
      </c>
      <c r="Y31" s="215" t="str">
        <f>IF(A31="new.cod","NEWCOD",IF(AND((Z31=""),ISTEXT(A31)),A31,IF(Z31="","",INDEX('[1]liste reference'!$A$8:$A$904,Z31))))</f>
        <v>CINRIP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174</v>
      </c>
      <c r="AA31" s="216"/>
      <c r="AB31" s="217"/>
      <c r="AC31" s="217"/>
      <c r="BB31" s="8">
        <f t="shared" si="8"/>
        <v>1</v>
      </c>
    </row>
    <row r="32" spans="1:54" ht="12.75">
      <c r="A32" s="218" t="s">
        <v>86</v>
      </c>
      <c r="B32" s="219">
        <v>0</v>
      </c>
      <c r="C32" s="220">
        <v>5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Cratoneuron filicinum</v>
      </c>
      <c r="E32" s="221" t="e">
        <f>IF(D32="",,VLOOKUP(D32,D$22:D31,1,0))</f>
        <v>#N/A</v>
      </c>
      <c r="F32" s="222">
        <f t="shared" si="1"/>
        <v>0.05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18</v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3</v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Cratoneuron filicinum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1233</v>
      </c>
      <c r="Q32" s="211">
        <f t="shared" si="2"/>
        <v>0.05</v>
      </c>
      <c r="R32" s="212">
        <f t="shared" si="3"/>
        <v>1</v>
      </c>
      <c r="S32" s="212">
        <f t="shared" si="4"/>
        <v>18</v>
      </c>
      <c r="T32" s="212">
        <f t="shared" si="5"/>
        <v>54</v>
      </c>
      <c r="U32" s="224">
        <f t="shared" si="6"/>
        <v>3</v>
      </c>
      <c r="V32" s="213">
        <f t="shared" si="7"/>
      </c>
      <c r="W32" s="214" t="s">
        <v>54</v>
      </c>
      <c r="Y32" s="215" t="str">
        <f>IF(A32="new.cod","NEWCOD",IF(AND((Z32=""),ISTEXT(A32)),A32,IF(Z32="","",INDEX('[1]liste reference'!$A$8:$A$904,Z32))))</f>
        <v>CRAFIL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178</v>
      </c>
      <c r="AA32" s="216"/>
      <c r="AB32" s="217"/>
      <c r="AC32" s="217"/>
      <c r="BB32" s="8">
        <f t="shared" si="8"/>
        <v>1</v>
      </c>
    </row>
    <row r="33" spans="1:54" ht="12.75">
      <c r="A33" s="218" t="s">
        <v>87</v>
      </c>
      <c r="B33" s="219">
        <v>0.15</v>
      </c>
      <c r="C33" s="220">
        <v>0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Rhynchostegium riparioides</v>
      </c>
      <c r="E33" s="221" t="e">
        <f>IF(D33="",,VLOOKUP(D33,D$22:D32,1,0))</f>
        <v>#N/A</v>
      </c>
      <c r="F33" s="222">
        <f t="shared" si="1"/>
        <v>0.1485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Rhynchostegium riparioides</v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1268</v>
      </c>
      <c r="Q33" s="211">
        <f t="shared" si="2"/>
        <v>0.1485</v>
      </c>
      <c r="R33" s="212">
        <f t="shared" si="3"/>
        <v>2</v>
      </c>
      <c r="S33" s="212">
        <f t="shared" si="4"/>
        <v>24</v>
      </c>
      <c r="T33" s="212">
        <f t="shared" si="5"/>
        <v>24</v>
      </c>
      <c r="U33" s="224">
        <f t="shared" si="6"/>
        <v>2</v>
      </c>
      <c r="V33" s="213">
        <f t="shared" si="7"/>
      </c>
      <c r="W33" s="214" t="s">
        <v>54</v>
      </c>
      <c r="Y33" s="215" t="str">
        <f>IF(A33="new.cod","NEWCOD",IF(AND((Z33=""),ISTEXT(A33)),A33,IF(Z33="","",INDEX('[1]liste reference'!$A$8:$A$904,Z33))))</f>
        <v>RHYRIP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252</v>
      </c>
      <c r="AA33" s="216"/>
      <c r="AB33" s="217"/>
      <c r="AC33" s="217"/>
      <c r="BB33" s="8">
        <f t="shared" si="8"/>
        <v>1</v>
      </c>
    </row>
    <row r="34" spans="1:54" ht="12.75">
      <c r="A34" s="218" t="s">
        <v>88</v>
      </c>
      <c r="B34" s="219">
        <v>0.01</v>
      </c>
      <c r="C34" s="220">
        <v>0</v>
      </c>
      <c r="D34" s="203" t="str">
        <f>IF(ISERROR(VLOOKUP($A34,'[1]liste reference'!$A$7:$D$904,2,0)),IF(ISERROR(VLOOKUP($A34,'[1]liste reference'!$B$7:$D$904,1,0)),"",VLOOKUP($A34,'[1]liste reference'!$B$7:$D$904,1,0)),VLOOKUP($A34,'[1]liste reference'!$A$7:$D$904,2,0))</f>
        <v>Equisetum fluviatile</v>
      </c>
      <c r="E34" s="221" t="e">
        <f>IF(D34="",,VLOOKUP(D34,D$22:D33,1,0))</f>
        <v>#N/A</v>
      </c>
      <c r="F34" s="226">
        <f t="shared" si="1"/>
        <v>0.009899999999999999</v>
      </c>
      <c r="G34" s="20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PTE</v>
      </c>
      <c r="H34" s="20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6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12</v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0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Equisetum fluviatile</v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1385</v>
      </c>
      <c r="Q34" s="211">
        <f t="shared" si="2"/>
        <v>0.009899999999999999</v>
      </c>
      <c r="R34" s="212">
        <f t="shared" si="3"/>
        <v>1</v>
      </c>
      <c r="S34" s="212">
        <f t="shared" si="4"/>
        <v>12</v>
      </c>
      <c r="T34" s="212">
        <f t="shared" si="5"/>
        <v>24</v>
      </c>
      <c r="U34" s="224">
        <f t="shared" si="6"/>
        <v>2</v>
      </c>
      <c r="V34" s="213">
        <f t="shared" si="7"/>
      </c>
      <c r="W34" s="214" t="s">
        <v>54</v>
      </c>
      <c r="Y34" s="215" t="str">
        <f>IF(A34="new.cod","NEWCOD",IF(AND((Z34=""),ISTEXT(A34)),A34,IF(Z34="","",INDEX('[1]liste reference'!$A$8:$A$904,Z34))))</f>
        <v>EQUFLU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279</v>
      </c>
      <c r="AA34" s="216"/>
      <c r="AB34" s="217"/>
      <c r="AC34" s="217"/>
      <c r="BB34" s="8">
        <f t="shared" si="8"/>
        <v>1</v>
      </c>
    </row>
    <row r="35" spans="1:54" ht="12.75">
      <c r="A35" s="218" t="s">
        <v>54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54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54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54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54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54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54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54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54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54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54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54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54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54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54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54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54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54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54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54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54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54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54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54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54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54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54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54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54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54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54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54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54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54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54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54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54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54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54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54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54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54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54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54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54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54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54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54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54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54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54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54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54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54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54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54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54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54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54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54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54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54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54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54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54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54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54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54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54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54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54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54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54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54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54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54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54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54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54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54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54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54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54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54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54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54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54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54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54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54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54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54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54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54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54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54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89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Borne</v>
      </c>
      <c r="B84" s="254" t="str">
        <f>C3</f>
        <v>BORNE A ST PIERRE EN FAUCIGNY</v>
      </c>
      <c r="C84" s="255">
        <f>A4</f>
        <v>41470</v>
      </c>
      <c r="D84" s="256">
        <f>IF(ISERROR(SUM($T$23:$T$82)/SUM($U$23:$U$82)),"",SUM($T$23:$T$82)/SUM($U$23:$U$82))</f>
        <v>12.833333333333334</v>
      </c>
      <c r="E84" s="257">
        <f>N13</f>
        <v>12</v>
      </c>
      <c r="F84" s="254">
        <f>N14</f>
        <v>12</v>
      </c>
      <c r="G84" s="254">
        <f>N15</f>
        <v>4</v>
      </c>
      <c r="H84" s="254">
        <f>N16</f>
        <v>7</v>
      </c>
      <c r="I84" s="254">
        <f>N17</f>
        <v>1</v>
      </c>
      <c r="J84" s="258">
        <f>N8</f>
        <v>11.833333333333334</v>
      </c>
      <c r="K84" s="256">
        <f>N9</f>
        <v>3.912231531435167</v>
      </c>
      <c r="L84" s="257">
        <f>N10</f>
        <v>4</v>
      </c>
      <c r="M84" s="257">
        <f>N11</f>
        <v>18</v>
      </c>
      <c r="N84" s="256">
        <f>O8</f>
        <v>1.75</v>
      </c>
      <c r="O84" s="256">
        <f>O9</f>
        <v>0.5951190357119042</v>
      </c>
      <c r="P84" s="257">
        <f>O10</f>
        <v>1</v>
      </c>
      <c r="Q84" s="257">
        <f>O11</f>
        <v>3</v>
      </c>
      <c r="R84" s="257">
        <f>F21</f>
        <v>11.4729</v>
      </c>
      <c r="S84" s="257">
        <f>K11</f>
        <v>0</v>
      </c>
      <c r="T84" s="257">
        <f>K12</f>
        <v>5</v>
      </c>
      <c r="U84" s="257">
        <f>K13</f>
        <v>6</v>
      </c>
      <c r="V84" s="259">
        <f>K14</f>
        <v>1</v>
      </c>
      <c r="W84" s="260">
        <f>K15</f>
        <v>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90</v>
      </c>
      <c r="R86" s="8"/>
      <c r="S86" s="213"/>
      <c r="T86" s="8"/>
      <c r="U86" s="8"/>
      <c r="V86" s="8"/>
    </row>
    <row r="87" spans="16:22" ht="12.75" hidden="1">
      <c r="P87" s="8"/>
      <c r="Q87" s="8" t="s">
        <v>91</v>
      </c>
      <c r="R87" s="8"/>
      <c r="S87" s="21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92</v>
      </c>
      <c r="R88" s="8"/>
      <c r="S88" s="213">
        <f>VLOOKUP((S87),($S$23:$U$82),2,0)</f>
        <v>96</v>
      </c>
      <c r="T88" s="8"/>
      <c r="U88" s="8"/>
      <c r="V88" s="8"/>
    </row>
    <row r="89" spans="17:20" ht="12.75" hidden="1">
      <c r="Q89" s="8" t="s">
        <v>93</v>
      </c>
      <c r="R89" s="8"/>
      <c r="S89" s="213">
        <f>VLOOKUP((S87),($S$23:$U$82),3,0)</f>
        <v>6</v>
      </c>
      <c r="T89" s="8"/>
    </row>
    <row r="90" spans="17:20" ht="12.75">
      <c r="Q90" s="8" t="s">
        <v>94</v>
      </c>
      <c r="R90" s="8"/>
      <c r="S90" s="263">
        <f>IF(ISERROR(SUM($T$23:$T$82)/SUM($U$23:$U$82)),"",(SUM($T$23:$T$82)-S88)/(SUM($U$23:$U$82)-S89))</f>
        <v>12.041666666666666</v>
      </c>
      <c r="T90" s="8"/>
    </row>
    <row r="91" spans="17:21" ht="12.75">
      <c r="Q91" s="212" t="s">
        <v>95</v>
      </c>
      <c r="R91" s="212"/>
      <c r="S91" s="212" t="str">
        <f>INDEX('[1]liste reference'!$A$8:$A$904,$T$91)</f>
        <v>HYUSPX</v>
      </c>
      <c r="T91" s="8">
        <f>IF(ISERROR(MATCH($S$93,'[1]liste reference'!$A$8:$A$904,0)),MATCH($S$93,'[1]liste reference'!$B$8:$B$904,0),(MATCH($S$93,'[1]liste reference'!$A$8:$A$904,0)))</f>
        <v>33</v>
      </c>
      <c r="U91" s="252"/>
    </row>
    <row r="92" spans="17:20" ht="12.75">
      <c r="Q92" s="8" t="s">
        <v>96</v>
      </c>
      <c r="R92" s="8"/>
      <c r="S92" s="8">
        <f>MATCH(S87,$S$23:$S$82,0)</f>
        <v>3</v>
      </c>
      <c r="T92" s="8"/>
    </row>
    <row r="93" spans="17:20" ht="12.75">
      <c r="Q93" s="212" t="s">
        <v>97</v>
      </c>
      <c r="R93" s="8"/>
      <c r="S93" s="212" t="str">
        <f>INDEX($A$23:$A$82,$S$92)</f>
        <v>HYUSPX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2013-12-03T11:06:38Z</dcterms:created>
  <dcterms:modified xsi:type="dcterms:W3CDTF">2013-12-03T11:08:11Z</dcterms:modified>
  <cp:category/>
  <cp:version/>
  <cp:contentType/>
  <cp:contentStatus/>
</cp:coreProperties>
</file>