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<sst xmlns="http://schemas.openxmlformats.org/spreadsheetml/2006/main" count="217" uniqueCount="94">
  <si>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</si>
  <si>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 xml:space="preserve">Formulaire modèle GIS Macrophytes v 3.3 - novembre 2013  </t>
  </si>
  <si>
    <t>SAGE</t>
  </si>
  <si>
    <t>L. BOURGOIN M. SCHNEIDER</t>
  </si>
  <si>
    <t>conforme AFNOR T90-395 oct. 2003</t>
  </si>
  <si>
    <t>Semine</t>
  </si>
  <si>
    <t>Semine à Belleydoux</t>
  </si>
  <si>
    <t>06067760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</si>
  <si>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</si>
  <si>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</si>
  <si>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</si>
  <si>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</si>
  <si>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</si>
  <si>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</si>
  <si>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</si>
  <si>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</si>
  <si>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</si>
  <si>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</si>
  <si>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rapide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</si>
  <si>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</si>
  <si>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</si>
  <si>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</si>
  <si>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</si>
  <si>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</si>
  <si>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</si>
  <si>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</si>
  <si>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</si>
  <si>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</si>
  <si>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</si>
  <si>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</si>
  <si>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</si>
  <si>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</si>
  <si>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</si>
  <si>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</si>
  <si>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</si>
  <si>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</si>
  <si>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</si>
  <si>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</si>
  <si>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</si>
  <si>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</si>
  <si>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</si>
  <si>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</si>
  <si>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</si>
  <si>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</si>
  <si>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</si>
  <si>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</si>
  <si>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</si>
  <si>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</si>
  <si>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</si>
  <si>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</si>
  <si>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</si>
  <si>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</si>
  <si>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</si>
  <si>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</si>
  <si>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</si>
  <si>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</si>
  <si>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</si>
  <si>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</si>
  <si>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</si>
  <si>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</si>
  <si>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</si>
  <si>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</si>
  <si>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</si>
  <si>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</si>
  <si>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</si>
  <si>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</si>
  <si>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</si>
  <si>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</si>
  <si>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</si>
  <si>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</si>
  <si>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</si>
  <si>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</si>
  <si>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</si>
  <si>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</si>
  <si>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</si>
  <si>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</si>
  <si>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</si>
  <si>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</si>
  <si>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</si>
  <si>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LEASPX</t>
  </si>
  <si>
    <t>MELSPX</t>
  </si>
  <si>
    <t>ULOSPX</t>
  </si>
  <si>
    <t>CINAQU</t>
  </si>
  <si>
    <t>FONANT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</si>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</sst>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SEBEL_16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C23" sqref="C23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41898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11.272727272727273</v>
      </c>
      <c r="M5" s="52"/>
      <c r="N5" s="53" t="s">
        <v>16</v>
      </c>
      <c r="O5" s="54">
        <v>10.857142857142858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85</v>
      </c>
      <c r="C7" s="66">
        <v>15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11.25</v>
      </c>
      <c r="O8" s="84">
        <f>IF(ISERROR(AVERAGE(J23:J82)),"      -",AVERAGE(J23:J82))</f>
        <v>1.375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25.52</v>
      </c>
      <c r="C9" s="87">
        <v>25.56</v>
      </c>
      <c r="D9" s="88"/>
      <c r="E9" s="88"/>
      <c r="F9" s="89">
        <f>($B9*$B$7+$C9*$C$7)/100</f>
        <v>25.526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2.7726341266023544</v>
      </c>
      <c r="O9" s="84">
        <f>IF(ISERROR(STDEVP(J23:J82)),"      -",STDEVP(J23:J82))</f>
        <v>0.4841229182759271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6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15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25.31</v>
      </c>
      <c r="C12" s="120">
        <v>25.11</v>
      </c>
      <c r="D12" s="111"/>
      <c r="E12" s="111"/>
      <c r="F12" s="112">
        <f>($B12*$B$7+$C12*$C$7)/100</f>
        <v>25.28</v>
      </c>
      <c r="G12" s="121"/>
      <c r="H12" s="67"/>
      <c r="I12" s="122" t="s">
        <v>38</v>
      </c>
      <c r="J12" s="123"/>
      <c r="K12" s="116">
        <f>COUNTIF($G$23:$G$82,"=ALG")</f>
        <v>5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0.21</v>
      </c>
      <c r="C13" s="120">
        <v>0.45</v>
      </c>
      <c r="D13" s="111"/>
      <c r="E13" s="111"/>
      <c r="F13" s="112">
        <f>($B13*$B$7+$C13*$C$7)/100</f>
        <v>0.24599999999999997</v>
      </c>
      <c r="G13" s="121"/>
      <c r="H13" s="67"/>
      <c r="I13" s="129" t="s">
        <v>40</v>
      </c>
      <c r="J13" s="123"/>
      <c r="K13" s="116">
        <f>COUNTIF($G$23:$G$82,"=BRm")+COUNTIF($G$23:$G$82,"=BRh")</f>
        <v>3</v>
      </c>
      <c r="L13" s="117"/>
      <c r="M13" s="130" t="s">
        <v>41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47</v>
      </c>
      <c r="N15" s="141">
        <f>COUNTIF(J23:J82,"=1")</f>
        <v>5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3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25.52</v>
      </c>
      <c r="C17" s="120">
        <v>25.56</v>
      </c>
      <c r="D17" s="111"/>
      <c r="E17" s="111"/>
      <c r="F17" s="147"/>
      <c r="G17" s="112">
        <f>($B17*$B$7+$C17*$C$7)/100</f>
        <v>25.526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/>
      <c r="D18" s="111"/>
      <c r="E18" s="152" t="s">
        <v>53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25.526</v>
      </c>
      <c r="G19" s="161">
        <f>SUM(G16:G18)</f>
        <v>25.526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25.520000000000003</v>
      </c>
      <c r="C20" s="171">
        <f>SUM(C23:C82)</f>
        <v>25.560000000000002</v>
      </c>
      <c r="D20" s="172"/>
      <c r="E20" s="173" t="s">
        <v>53</v>
      </c>
      <c r="F20" s="174">
        <f>($B20*$B$7+$C20*$C$7)/100</f>
        <v>25.526000000000003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21.692000000000004</v>
      </c>
      <c r="C21" s="184">
        <f>C20*C7/100</f>
        <v>3.8340000000000005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25.526000000000003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2.77</v>
      </c>
      <c r="C23" s="212">
        <v>0.1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2.3695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2.3695</v>
      </c>
      <c r="R23" s="222">
        <f aca="true" t="shared" si="2" ref="R23:R82">IF(OR(ISTEXT(H23),Q23=0),"",IF(Q23&lt;0.1,1,IF(Q23&lt;1,2,IF(Q23&lt;10,3,IF(Q23&lt;50,4,IF(Q23&gt;=50,5,""))))))</f>
        <v>3</v>
      </c>
      <c r="S23" s="222">
        <f aca="true" t="shared" si="3" ref="S23:S82">IF(ISERROR(R23*I23),0,R23*I23)</f>
        <v>18</v>
      </c>
      <c r="T23" s="222">
        <f aca="true" t="shared" si="4" ref="T23:T82">IF(ISERROR(R23*I23*J23),0,R23*I23*J23)</f>
        <v>18</v>
      </c>
      <c r="U23" s="222">
        <f aca="true" t="shared" si="5" ref="U23:U82">IF(ISERROR(R23*J23),0,R23*J23)</f>
        <v>3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16</v>
      </c>
      <c r="B24" s="229">
        <v>20.03</v>
      </c>
      <c r="C24" s="230">
        <v>24.01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0"/>
        <v>20.627000000000002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1"/>
        <v>20.627000000000002</v>
      </c>
      <c r="R24" s="222">
        <f t="shared" si="2"/>
        <v>4</v>
      </c>
      <c r="S24" s="222">
        <f t="shared" si="3"/>
        <v>48</v>
      </c>
      <c r="T24" s="222">
        <f t="shared" si="4"/>
        <v>96</v>
      </c>
      <c r="U24" s="234">
        <f t="shared" si="5"/>
        <v>8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79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Lemanea sp.</v>
      </c>
      <c r="E25" s="231" t="e">
        <f>IF(D25="",,VLOOKUP(D25,D$22:D24,1,0))</f>
        <v>#N/A</v>
      </c>
      <c r="F25" s="232">
        <f t="shared" si="0"/>
        <v>0.0085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15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Lemanea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1159</v>
      </c>
      <c r="Q25" s="221">
        <f t="shared" si="1"/>
        <v>0.0085</v>
      </c>
      <c r="R25" s="222">
        <f t="shared" si="2"/>
        <v>1</v>
      </c>
      <c r="S25" s="222">
        <f t="shared" si="3"/>
        <v>15</v>
      </c>
      <c r="T25" s="222">
        <f t="shared" si="4"/>
        <v>30</v>
      </c>
      <c r="U25" s="234">
        <f t="shared" si="5"/>
        <v>2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LEASPX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34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2.5</v>
      </c>
      <c r="C26" s="230">
        <v>0.5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Melosira sp.</v>
      </c>
      <c r="E26" s="231" t="e">
        <f>IF(D26="",,VLOOKUP(D26,D$22:D25,1,0))</f>
        <v>#N/A</v>
      </c>
      <c r="F26" s="232">
        <f t="shared" si="0"/>
        <v>2.2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Melosira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8714</v>
      </c>
      <c r="Q26" s="221">
        <f t="shared" si="1"/>
        <v>2.2</v>
      </c>
      <c r="R26" s="222">
        <f t="shared" si="2"/>
        <v>3</v>
      </c>
      <c r="S26" s="222">
        <f t="shared" si="3"/>
        <v>30</v>
      </c>
      <c r="T26" s="222">
        <f t="shared" si="4"/>
        <v>30</v>
      </c>
      <c r="U26" s="234">
        <f t="shared" si="5"/>
        <v>3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MELSPX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36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</v>
      </c>
      <c r="C27" s="230">
        <v>0.5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Ulothrix sp.</v>
      </c>
      <c r="E27" s="231" t="e">
        <f>IF(D27="",,VLOOKUP(D27,D$22:D26,1,0))</f>
        <v>#N/A</v>
      </c>
      <c r="F27" s="232">
        <f t="shared" si="0"/>
        <v>0.075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Ulothrix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1142</v>
      </c>
      <c r="Q27" s="221">
        <f t="shared" si="1"/>
        <v>0.075</v>
      </c>
      <c r="R27" s="222">
        <f t="shared" si="2"/>
        <v>1</v>
      </c>
      <c r="S27" s="222">
        <f t="shared" si="3"/>
        <v>10</v>
      </c>
      <c r="T27" s="222">
        <f t="shared" si="4"/>
        <v>10</v>
      </c>
      <c r="U27" s="234">
        <f t="shared" si="5"/>
        <v>1</v>
      </c>
      <c r="V27" s="223">
        <f t="shared" si="6"/>
      </c>
      <c r="W27" s="235" t="s">
        <v>54</v>
      </c>
      <c r="Y27" s="225" t="str">
        <f>IF(A27="new.cod","NEWCOD",IF(AND((Z27=""),ISTEXT(A27)),A27,IF(Z27="","",INDEX('[1]liste reference'!$A$8:$A$904,Z27))))</f>
        <v>ULOSPX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81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0.01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Cinclidotus aquaticus</v>
      </c>
      <c r="E28" s="231" t="e">
        <f>IF(D28="",,VLOOKUP(D28,D$22:D27,1,0))</f>
        <v>#N/A</v>
      </c>
      <c r="F28" s="232">
        <f t="shared" si="0"/>
        <v>0.0085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15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Cinclidotus aquaticus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1318</v>
      </c>
      <c r="Q28" s="221">
        <f t="shared" si="1"/>
        <v>0.0085</v>
      </c>
      <c r="R28" s="222">
        <f t="shared" si="2"/>
        <v>1</v>
      </c>
      <c r="S28" s="222">
        <f t="shared" si="3"/>
        <v>15</v>
      </c>
      <c r="T28" s="222">
        <f t="shared" si="4"/>
        <v>30</v>
      </c>
      <c r="U28" s="234">
        <f t="shared" si="5"/>
        <v>2</v>
      </c>
      <c r="V28" s="223">
        <f t="shared" si="6"/>
      </c>
      <c r="W28" s="224" t="s">
        <v>54</v>
      </c>
      <c r="Y28" s="225" t="str">
        <f>IF(A28="new.cod","NEWCOD",IF(AND((Z28=""),ISTEXT(A28)),A28,IF(Z28="","",INDEX('[1]liste reference'!$A$8:$A$904,Z28))))</f>
        <v>CINAQU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170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</v>
      </c>
      <c r="C29" s="230">
        <v>0.05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Fontinalis antipyretica</v>
      </c>
      <c r="E29" s="231" t="e">
        <f>IF(D29="",,VLOOKUP(D29,D$22:D28,1,0))</f>
        <v>#N/A</v>
      </c>
      <c r="F29" s="232">
        <f t="shared" si="0"/>
        <v>0.0075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Fontinalis antipyretica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1310</v>
      </c>
      <c r="Q29" s="221">
        <f t="shared" si="1"/>
        <v>0.0075</v>
      </c>
      <c r="R29" s="222">
        <f t="shared" si="2"/>
        <v>1</v>
      </c>
      <c r="S29" s="222">
        <f t="shared" si="3"/>
        <v>10</v>
      </c>
      <c r="T29" s="222">
        <f t="shared" si="4"/>
        <v>10</v>
      </c>
      <c r="U29" s="234">
        <f t="shared" si="5"/>
        <v>1</v>
      </c>
      <c r="V29" s="223">
        <f t="shared" si="6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FONANT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210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0.2</v>
      </c>
      <c r="C30" s="230">
        <v>0.4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31" t="e">
        <f>IF(D30="",,VLOOKUP(D30,D$22:D29,1,0))</f>
        <v>#N/A</v>
      </c>
      <c r="F30" s="232">
        <f t="shared" si="0"/>
        <v>0.23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21">
        <f t="shared" si="1"/>
        <v>0.23</v>
      </c>
      <c r="R30" s="222">
        <f t="shared" si="2"/>
        <v>2</v>
      </c>
      <c r="S30" s="222">
        <f t="shared" si="3"/>
        <v>24</v>
      </c>
      <c r="T30" s="222">
        <f t="shared" si="4"/>
        <v>24</v>
      </c>
      <c r="U30" s="234">
        <f t="shared" si="5"/>
        <v>2</v>
      </c>
      <c r="V30" s="223">
        <f t="shared" si="6"/>
      </c>
      <c r="W30" s="224" t="s">
        <v>54</v>
      </c>
      <c r="Y30" s="225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26"/>
      <c r="AB30" s="227"/>
      <c r="AC30" s="227"/>
      <c r="BB30" s="8">
        <f t="shared" si="7"/>
        <v>1</v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Semine</v>
      </c>
      <c r="B84" s="265" t="str">
        <f>C3</f>
        <v>Semine à Belleydoux</v>
      </c>
      <c r="C84" s="266">
        <f>A4</f>
        <v>41898</v>
      </c>
      <c r="D84" s="267">
        <f>IF(ISERROR(SUM($T$23:$T$82)/SUM($U$23:$U$82)),"",SUM($T$23:$T$82)/SUM($U$23:$U$82))</f>
        <v>11.272727272727273</v>
      </c>
      <c r="E84" s="268">
        <f>N13</f>
        <v>8</v>
      </c>
      <c r="F84" s="265">
        <f>N14</f>
        <v>8</v>
      </c>
      <c r="G84" s="265">
        <f>N15</f>
        <v>5</v>
      </c>
      <c r="H84" s="265">
        <f>N16</f>
        <v>3</v>
      </c>
      <c r="I84" s="265">
        <f>N17</f>
        <v>0</v>
      </c>
      <c r="J84" s="269">
        <f>N8</f>
        <v>11.25</v>
      </c>
      <c r="K84" s="267">
        <f>N9</f>
        <v>2.7726341266023544</v>
      </c>
      <c r="L84" s="268">
        <f>N10</f>
        <v>6</v>
      </c>
      <c r="M84" s="268">
        <f>N11</f>
        <v>15</v>
      </c>
      <c r="N84" s="267">
        <f>O8</f>
        <v>1.375</v>
      </c>
      <c r="O84" s="267">
        <f>O9</f>
        <v>0.4841229182759271</v>
      </c>
      <c r="P84" s="268">
        <f>O10</f>
        <v>1</v>
      </c>
      <c r="Q84" s="268">
        <f>O11</f>
        <v>2</v>
      </c>
      <c r="R84" s="268">
        <f>F21</f>
        <v>25.526000000000003</v>
      </c>
      <c r="S84" s="268">
        <f>K11</f>
        <v>0</v>
      </c>
      <c r="T84" s="268">
        <f>K12</f>
        <v>5</v>
      </c>
      <c r="U84" s="268">
        <f>K13</f>
        <v>3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96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8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10.857142857142858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DIASPX</v>
      </c>
      <c r="T91" s="8">
        <f>IF(ISERROR(MATCH($S$93,'[1]liste reference'!$A$8:$A$904,0)),MATCH($S$93,'[1]liste reference'!$B$8:$B$904,0),(MATCH($S$93,'[1]liste reference'!$A$8:$A$904,0)))</f>
        <v>26</v>
      </c>
      <c r="U91" s="263"/>
    </row>
    <row r="92" spans="17:20" ht="12.75">
      <c r="Q92" s="8" t="s">
        <v>92</v>
      </c>
      <c r="R92" s="8"/>
      <c r="S92" s="8">
        <f>MATCH(S87,$S$23:$S$82,0)</f>
        <v>2</v>
      </c>
      <c r="T92" s="8"/>
    </row>
    <row r="93" spans="17:20" ht="12.75">
      <c r="Q93" s="222" t="s">
        <v>93</v>
      </c>
      <c r="R93" s="8"/>
      <c r="S93" s="222" t="str">
        <f>INDEX($A$23:$A$82,$S$92)</f>
        <v>DIASPX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2015-04-23T10:16:30Z</dcterms:created>
  <dcterms:modified xsi:type="dcterms:W3CDTF">2015-04-23T10:16:37Z</dcterms:modified>
  <cp:category/>
  <cp:version/>
  <cp:contentType/>
  <cp:contentStatus/>
</cp:coreProperties>
</file>