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<sst xmlns="http://schemas.openxmlformats.org/spreadsheetml/2006/main" count="215" uniqueCount="92">
  <si>
    <t>Relevés floristiques aquatiques - IBMR</t>
  </si>
  <si>
    <t>modèle Irstea-GIS</t>
  </si>
  <si>
    <t>SAGE</t>
  </si>
  <si>
    <t>C. BERNARD P. BELLY</t>
  </si>
  <si>
    <t>USSES</t>
  </si>
  <si>
    <t>USSES A SEYSSEL</t>
  </si>
  <si>
    <t>06069050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</si>
  <si>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</si>
  <si>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</si>
  <si>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</si>
  <si>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</si>
  <si>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</si>
  <si>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</si>
  <si>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</si>
  <si>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</si>
  <si>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</si>
  <si>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TRISPX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</si>
  <si>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</si>
  <si>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</si>
  <si>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</si>
  <si>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</si>
  <si>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</si>
  <si>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</si>
  <si>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</si>
  <si>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</si>
  <si>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</si>
  <si>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</si>
  <si>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</si>
  <si>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</si>
  <si>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</si>
  <si>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</si>
  <si>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</si>
  <si>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</si>
  <si>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</si>
  <si>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</si>
  <si>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</si>
  <si>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</si>
  <si>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</si>
  <si>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</si>
  <si>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</si>
  <si>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</si>
  <si>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</si>
  <si>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</si>
  <si>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</si>
  <si>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</si>
  <si>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</si>
  <si>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</si>
  <si>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</si>
  <si>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</si>
  <si>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</si>
  <si>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</si>
  <si>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</si>
  <si>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</si>
  <si>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</si>
  <si>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</si>
  <si>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</si>
  <si>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</si>
  <si>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</si>
  <si>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</si>
  <si>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</si>
  <si>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</si>
  <si>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</si>
  <si>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</si>
  <si>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</si>
  <si>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</si>
  <si>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</si>
  <si>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</si>
  <si>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</si>
  <si>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</si>
  <si>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</si>
  <si>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</si>
  <si>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</si>
  <si>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</si>
  <si>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</si>
  <si>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</si>
  <si>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</si>
  <si>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</si>
  <si>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</si>
  <si>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</si>
  <si>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</si>
  <si>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</si>
  <si>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MELSPX</t>
  </si>
  <si>
    <t>STISPX</t>
  </si>
  <si>
    <t>VAUSPX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</si>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</sst>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USSE_23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B31" sqref="B31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42178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9.166666666666666</v>
      </c>
      <c r="N5" s="50"/>
      <c r="O5" s="51" t="s">
        <v>16</v>
      </c>
      <c r="P5" s="52">
        <v>8.25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8.8</v>
      </c>
      <c r="P8" s="85">
        <f>IF(ISERROR(AVERAGE(K23:K82)),"  ",AVERAGE(K23:K82))</f>
        <v>1.4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1.04</v>
      </c>
      <c r="C9" s="88">
        <v>32.04</v>
      </c>
      <c r="D9" s="89"/>
      <c r="E9" s="89"/>
      <c r="F9" s="90">
        <f>($B9*$B$7+$C9*$C$7)/100</f>
        <v>2.59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3.3105890714493698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31</v>
      </c>
      <c r="L10" s="99"/>
      <c r="M10" s="100"/>
      <c r="N10" s="84" t="s">
        <v>32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33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34</v>
      </c>
      <c r="K11" s="109"/>
      <c r="L11" s="110">
        <f>COUNTIF($G$23:$G$82,"=HET")</f>
        <v>0</v>
      </c>
      <c r="M11" s="111"/>
      <c r="N11" s="84" t="s">
        <v>35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36</v>
      </c>
      <c r="B12" s="113">
        <v>1.04</v>
      </c>
      <c r="C12" s="114">
        <v>32.04</v>
      </c>
      <c r="D12" s="89"/>
      <c r="E12" s="89"/>
      <c r="F12" s="106">
        <f>($B12*$B$7+$C12*$C$7)/100</f>
        <v>2.59</v>
      </c>
      <c r="G12" s="107"/>
      <c r="H12" s="56"/>
      <c r="I12" s="5"/>
      <c r="J12" s="108" t="s">
        <v>37</v>
      </c>
      <c r="K12" s="109"/>
      <c r="L12" s="110">
        <f>COUNTIF($G$23:$G$82,"=ALG")</f>
        <v>5</v>
      </c>
      <c r="M12" s="111"/>
      <c r="N12" s="115"/>
      <c r="O12" s="116" t="s">
        <v>31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38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39</v>
      </c>
      <c r="K13" s="109"/>
      <c r="L13" s="110">
        <f>COUNTIF($G$23:$G$82,"=BRm")+COUNTIF($G$23:$G$82,"=BRh")</f>
        <v>0</v>
      </c>
      <c r="M13" s="111"/>
      <c r="N13" s="120" t="s">
        <v>40</v>
      </c>
      <c r="O13" s="121">
        <f>COUNTIF(F23:F82,"&gt;0")</f>
        <v>5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41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42</v>
      </c>
      <c r="K14" s="109"/>
      <c r="L14" s="110">
        <f>COUNTIF($G$23:$G$82,"=PTE")+COUNTIF($G$23:$G$82,"=LIC")</f>
        <v>0</v>
      </c>
      <c r="M14" s="111"/>
      <c r="N14" s="123" t="s">
        <v>43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44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45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46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47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48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49</v>
      </c>
      <c r="B17" s="113">
        <v>1.04</v>
      </c>
      <c r="C17" s="114">
        <v>32.04</v>
      </c>
      <c r="D17" s="89"/>
      <c r="E17" s="89"/>
      <c r="F17" s="133"/>
      <c r="G17" s="134">
        <f>($B17*$B$7+$C17*$C$7)/100</f>
        <v>2.59</v>
      </c>
      <c r="H17" s="56"/>
      <c r="I17" s="5"/>
      <c r="J17" s="135"/>
      <c r="K17" s="136"/>
      <c r="L17" s="137" t="s">
        <v>50</v>
      </c>
      <c r="M17" s="138">
        <f>IF(ISERROR((O13-(COUNTIF(J23:J82,"nc")))/O13),"-",(O13-(COUNTIF(J23:J82,"nc")))/O13)</f>
        <v>1</v>
      </c>
      <c r="N17" s="120" t="s">
        <v>51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52</v>
      </c>
      <c r="B18" s="142"/>
      <c r="C18" s="143"/>
      <c r="D18" s="89"/>
      <c r="E18" s="144" t="s">
        <v>53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54</v>
      </c>
      <c r="X18" s="9" t="s">
        <v>54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2.59</v>
      </c>
      <c r="G19" s="157">
        <f>SUM(G16:G18)</f>
        <v>2.59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54</v>
      </c>
      <c r="X19" s="9" t="s">
        <v>54</v>
      </c>
    </row>
    <row r="20" spans="1:23" ht="12.75">
      <c r="A20" s="165" t="s">
        <v>55</v>
      </c>
      <c r="B20" s="166">
        <f>SUM(B23:B62)</f>
        <v>1.04</v>
      </c>
      <c r="C20" s="167">
        <f>SUM(C23:C62)</f>
        <v>32.040000000000006</v>
      </c>
      <c r="D20" s="168"/>
      <c r="E20" s="169" t="s">
        <v>53</v>
      </c>
      <c r="F20" s="170">
        <f>($B20*$B$7+$C20*$C$7)/100</f>
        <v>2.5900000000000007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56</v>
      </c>
      <c r="B21" s="178">
        <f>B20*B7/100</f>
        <v>0.988</v>
      </c>
      <c r="C21" s="178">
        <f>C20*C7/100</f>
        <v>1.6020000000000005</v>
      </c>
      <c r="D21" s="179" t="s">
        <v>57</v>
      </c>
      <c r="E21" s="180"/>
      <c r="F21" s="181">
        <f>B21+C21</f>
        <v>2.5900000000000007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58</v>
      </c>
    </row>
    <row r="22" spans="1:26" ht="12.75">
      <c r="A22" s="190" t="s">
        <v>59</v>
      </c>
      <c r="B22" s="191" t="s">
        <v>60</v>
      </c>
      <c r="C22" s="191" t="s">
        <v>60</v>
      </c>
      <c r="D22" s="192"/>
      <c r="E22" s="193"/>
      <c r="F22" s="194" t="s">
        <v>61</v>
      </c>
      <c r="G22" s="195" t="s">
        <v>62</v>
      </c>
      <c r="H22" s="89" t="s">
        <v>63</v>
      </c>
      <c r="I22" s="5" t="s">
        <v>64</v>
      </c>
      <c r="J22" s="196" t="s">
        <v>65</v>
      </c>
      <c r="K22" s="196" t="s">
        <v>66</v>
      </c>
      <c r="L22" s="197" t="s">
        <v>67</v>
      </c>
      <c r="M22" s="197"/>
      <c r="N22" s="197"/>
      <c r="O22" s="197"/>
      <c r="P22" s="189" t="s">
        <v>68</v>
      </c>
      <c r="Q22" s="198" t="s">
        <v>69</v>
      </c>
      <c r="R22" s="199" t="s">
        <v>70</v>
      </c>
      <c r="S22" s="200" t="s">
        <v>71</v>
      </c>
      <c r="T22" s="201" t="s">
        <v>72</v>
      </c>
      <c r="U22" s="201" t="s">
        <v>73</v>
      </c>
      <c r="V22" s="202" t="s">
        <v>74</v>
      </c>
      <c r="W22" s="203" t="s">
        <v>75</v>
      </c>
      <c r="X22" s="204" t="s">
        <v>76</v>
      </c>
      <c r="Y22" s="205" t="s">
        <v>77</v>
      </c>
      <c r="Z22" s="205" t="s">
        <v>78</v>
      </c>
    </row>
    <row r="23" spans="1:26" ht="12.75">
      <c r="A23" s="206" t="s">
        <v>79</v>
      </c>
      <c r="B23" s="207">
        <v>0.01</v>
      </c>
      <c r="C23" s="208">
        <v>18.01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0.9100000000000001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0.91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12</v>
      </c>
      <c r="U23" s="220">
        <f aca="true" t="shared" si="5" ref="U23:U82">IF(ISERROR(S23*J23*K23),0,S23*J23*K23)</f>
        <v>12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0.1</v>
      </c>
      <c r="C24" s="226">
        <v>1.11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Melosira sp.</v>
      </c>
      <c r="E24" s="228" t="e">
        <f>IF(D24="",,VLOOKUP(D24,D$22:D23,1,0))</f>
        <v>#N/A</v>
      </c>
      <c r="F24" s="229">
        <f t="shared" si="0"/>
        <v>0.1505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Melosira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8714</v>
      </c>
      <c r="R24" s="219">
        <f t="shared" si="2"/>
        <v>0.15050000000000002</v>
      </c>
      <c r="S24" s="220">
        <f t="shared" si="3"/>
        <v>2</v>
      </c>
      <c r="T24" s="220">
        <f t="shared" si="4"/>
        <v>20</v>
      </c>
      <c r="U24" s="220">
        <f t="shared" si="5"/>
        <v>20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MELSPX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62</v>
      </c>
    </row>
    <row r="25" spans="1:26" ht="12.75">
      <c r="A25" s="224" t="s">
        <v>82</v>
      </c>
      <c r="B25" s="225">
        <v>0.01</v>
      </c>
      <c r="C25" s="226">
        <v>0.01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Stigeoclonium sp. (excep. S. tenue)</v>
      </c>
      <c r="E25" s="228" t="e">
        <f>IF(D25="",,VLOOKUP(D25,D$22:D24,1,0))</f>
        <v>#N/A</v>
      </c>
      <c r="F25" s="229">
        <f t="shared" si="0"/>
        <v>0.01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13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Stigeoclonium sp. (excep. S. tenue)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1119</v>
      </c>
      <c r="R25" s="219">
        <f t="shared" si="2"/>
        <v>0.010000000000000002</v>
      </c>
      <c r="S25" s="220">
        <f t="shared" si="3"/>
        <v>1</v>
      </c>
      <c r="T25" s="220">
        <f t="shared" si="4"/>
        <v>13</v>
      </c>
      <c r="U25" s="220">
        <f t="shared" si="5"/>
        <v>26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STISPX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104</v>
      </c>
    </row>
    <row r="26" spans="1:26" ht="12.75">
      <c r="A26" s="224" t="s">
        <v>16</v>
      </c>
      <c r="B26" s="225">
        <v>0.9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Tribonema sp.</v>
      </c>
      <c r="E26" s="228" t="e">
        <f>IF(D26="",,VLOOKUP(D26,D$22:D25,1,0))</f>
        <v>#N/A</v>
      </c>
      <c r="F26" s="229">
        <f t="shared" si="0"/>
        <v>0.855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11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Tribonema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1167</v>
      </c>
      <c r="R26" s="219">
        <f t="shared" si="2"/>
        <v>0.855</v>
      </c>
      <c r="S26" s="220">
        <f t="shared" si="3"/>
        <v>2</v>
      </c>
      <c r="T26" s="220">
        <f t="shared" si="4"/>
        <v>22</v>
      </c>
      <c r="U26" s="220">
        <f t="shared" si="5"/>
        <v>44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TRISPX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115</v>
      </c>
    </row>
    <row r="27" spans="1:26" ht="12.75">
      <c r="A27" s="224" t="s">
        <v>83</v>
      </c>
      <c r="B27" s="225">
        <v>0.02</v>
      </c>
      <c r="C27" s="226">
        <v>12.91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Vaucheria sp.</v>
      </c>
      <c r="E27" s="228" t="e">
        <f>IF(D27="",,VLOOKUP(D27,D$22:D26,1,0))</f>
        <v>#N/A</v>
      </c>
      <c r="F27" s="229">
        <f t="shared" si="0"/>
        <v>0.6645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4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Vaucheria sp.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1169</v>
      </c>
      <c r="R27" s="219">
        <f t="shared" si="2"/>
        <v>0.6645</v>
      </c>
      <c r="S27" s="220">
        <f t="shared" si="3"/>
        <v>2</v>
      </c>
      <c r="T27" s="220">
        <f t="shared" si="4"/>
        <v>8</v>
      </c>
      <c r="U27" s="220">
        <f t="shared" si="5"/>
        <v>8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VAUSPX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118</v>
      </c>
    </row>
    <row r="28" spans="1:26" ht="12.75">
      <c r="A28" s="224" t="s">
        <v>54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 t="shared" si="0"/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 t="shared" si="1"/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 t="shared" si="2"/>
      </c>
      <c r="S28" s="220">
        <f t="shared" si="3"/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54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 t="shared" si="0"/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 t="shared" si="1"/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 t="shared" si="2"/>
      </c>
      <c r="S29" s="220">
        <f t="shared" si="3"/>
      </c>
      <c r="T29" s="220">
        <f t="shared" si="4"/>
        <v>0</v>
      </c>
      <c r="U29" s="220">
        <f t="shared" si="5"/>
        <v>0</v>
      </c>
      <c r="V29" s="236">
        <f t="shared" si="6"/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54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54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54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54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54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54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54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54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54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54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54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54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54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54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54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54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54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54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54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54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54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54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54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54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54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54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54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54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54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54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54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54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54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54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54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54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54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54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54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54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54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54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54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54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54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54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54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54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54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54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54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54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54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2.5900000000000003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12</v>
      </c>
      <c r="W83" s="220"/>
      <c r="X83" s="258"/>
      <c r="Y83" s="258"/>
      <c r="Z83" s="259"/>
    </row>
    <row r="84" spans="1:26" ht="12.75" hidden="1">
      <c r="A84" s="253" t="str">
        <f>A3</f>
        <v>USSES</v>
      </c>
      <c r="B84" s="187" t="str">
        <f>C3</f>
        <v>USSES A SEYSSEL</v>
      </c>
      <c r="C84" s="260" t="str">
        <f>A4</f>
        <v>(Date)</v>
      </c>
      <c r="D84" s="261">
        <f>IF(OR(ISERROR(SUM($U$23:$U$82)/SUM($V$23:$V$82)),F7&lt;&gt;100),-1,SUM($U$23:$U$82)/SUM($V$23:$V$82))</f>
        <v>9.166666666666666</v>
      </c>
      <c r="E84" s="262">
        <f>O13</f>
        <v>5</v>
      </c>
      <c r="F84" s="187">
        <f>O14</f>
        <v>5</v>
      </c>
      <c r="G84" s="187">
        <f>O15</f>
        <v>3</v>
      </c>
      <c r="H84" s="187">
        <f>O16</f>
        <v>2</v>
      </c>
      <c r="I84" s="187">
        <f>O17</f>
        <v>0</v>
      </c>
      <c r="J84" s="263">
        <f>O8</f>
        <v>8.8</v>
      </c>
      <c r="K84" s="264">
        <f>O9</f>
        <v>3.3105890714493698</v>
      </c>
      <c r="L84" s="265">
        <f>O10</f>
        <v>4</v>
      </c>
      <c r="M84" s="265">
        <f>O11</f>
        <v>13</v>
      </c>
      <c r="N84" s="264">
        <f>P8</f>
        <v>1.4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2.5900000000000007</v>
      </c>
      <c r="S84" s="265">
        <f>L11</f>
        <v>0</v>
      </c>
      <c r="T84" s="265">
        <f>L12</f>
        <v>5</v>
      </c>
      <c r="U84" s="265">
        <f>L13</f>
        <v>0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85</v>
      </c>
      <c r="S87" s="5"/>
      <c r="T87" s="272">
        <f>VLOOKUP($T$91,($A$23:$U$82),20,FALSE)</f>
        <v>22</v>
      </c>
      <c r="U87" s="5"/>
      <c r="V87" s="5"/>
    </row>
    <row r="88" spans="3:22" ht="12.75" hidden="1">
      <c r="C88" s="269"/>
      <c r="D88" s="269"/>
      <c r="E88" s="269"/>
      <c r="R88" s="5" t="s">
        <v>86</v>
      </c>
      <c r="S88" s="5"/>
      <c r="T88" s="272">
        <f>VLOOKUP($T$91,($A$23:$U$82),21,FALSE)</f>
        <v>44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87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88</v>
      </c>
      <c r="S90" s="5" t="s">
        <v>10</v>
      </c>
      <c r="T90" s="273">
        <f>IF(OR(ISERROR(SUM($U$23:$U$82)/SUM($V$23:$V$82)),F7&lt;&gt;100),-1,(SUM($U$23:$U$82)-T88)/(SUM($V$23:$V$82)-T89))</f>
        <v>8.25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89</v>
      </c>
      <c r="S91" s="220"/>
      <c r="T91" s="220" t="str">
        <f>INDEX('[1]liste reference'!$A$6:$A$1174,$U$91)</f>
        <v>TRISPX</v>
      </c>
      <c r="U91" s="5">
        <f>IF(ISERROR(MATCH($T$93,'[1]liste reference'!$A$6:$A$1174,0)),MATCH($T$93,'[1]liste reference'!$B$6:$B$1174,0),(MATCH($T$93,'[1]liste reference'!$A$6:$A$1174,0)))</f>
        <v>115</v>
      </c>
      <c r="V91" s="274"/>
    </row>
    <row r="92" spans="3:21" ht="12.75" hidden="1">
      <c r="C92" s="269"/>
      <c r="D92" s="269"/>
      <c r="E92" s="269"/>
      <c r="R92" s="5" t="s">
        <v>90</v>
      </c>
      <c r="S92" s="5"/>
      <c r="T92" s="5">
        <f>MATCH(T89,$V$23:$V$82,0)</f>
        <v>4</v>
      </c>
      <c r="U92" s="5"/>
    </row>
    <row r="93" spans="3:21" ht="12.75" hidden="1">
      <c r="C93" s="269"/>
      <c r="D93" s="269"/>
      <c r="E93" s="269"/>
      <c r="R93" s="220" t="s">
        <v>91</v>
      </c>
      <c r="S93" s="5"/>
      <c r="T93" s="220" t="str">
        <f>INDEX($A$23:$A$82,$T$92)</f>
        <v>TRISPX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2016-04-05T08:15:11Z</dcterms:created>
  <dcterms:modified xsi:type="dcterms:W3CDTF">2016-04-05T08:15:14Z</dcterms:modified>
  <cp:category/>
  <cp:version/>
  <cp:contentType/>
  <cp:contentStatus/>
</cp:coreProperties>
</file>