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<sst xmlns="http://schemas.openxmlformats.org/spreadsheetml/2006/main" count="221" uniqueCount="108">
  <si>
    <t>Relevés floristiques aquatiques - IBMR</t>
  </si>
  <si>
    <t xml:space="preserve">Formulaire modèle GIS Macrophytes v 3.1.1 - janvier 2013  </t>
  </si>
  <si>
    <t>SAGE</t>
  </si>
  <si>
    <t>LISEBE LBOURGOIN</t>
  </si>
  <si>
    <t>conforme AFNOR T90-395 oct. 2003</t>
  </si>
  <si>
    <t>RHONE</t>
  </si>
  <si>
    <t>RHONE A MASSIGNIEU</t>
  </si>
  <si>
    <t>06069550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</si>
  <si>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</si>
  <si>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</si>
  <si>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</si>
  <si>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</si>
  <si>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</si>
  <si>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</si>
  <si>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</si>
  <si>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</si>
  <si>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</si>
  <si>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</si>
  <si>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ch. lotique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</si>
  <si>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</si>
  <si>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</si>
  <si>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</si>
  <si>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</si>
  <si>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</si>
  <si>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</si>
  <si>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</si>
  <si>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</si>
  <si>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</si>
  <si>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</si>
  <si>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</si>
  <si>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</si>
  <si>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</si>
  <si>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</si>
  <si>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</si>
  <si>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</si>
  <si>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</si>
  <si>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</si>
  <si>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</si>
  <si>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</si>
  <si>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</si>
  <si>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</si>
  <si>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</si>
  <si>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</si>
  <si>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</si>
  <si>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</si>
  <si>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</si>
  <si>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</si>
  <si>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</si>
  <si>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</si>
  <si>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</si>
  <si>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</si>
  <si>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</si>
  <si>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</si>
  <si>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</si>
  <si>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</si>
  <si>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</si>
  <si>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</si>
  <si>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</si>
  <si>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</si>
  <si>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</si>
  <si>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</si>
  <si>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</si>
  <si>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</si>
  <si>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</si>
  <si>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</si>
  <si>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</si>
  <si>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</si>
  <si>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</si>
  <si>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</si>
  <si>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</si>
  <si>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</si>
  <si>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</si>
  <si>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</si>
  <si>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</si>
  <si>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</si>
  <si>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</si>
  <si>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</si>
  <si>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</si>
  <si>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</si>
  <si>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</si>
  <si>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</si>
  <si>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</si>
  <si>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SPISPX</t>
  </si>
  <si>
    <t>TETSPX</t>
  </si>
  <si>
    <t>ULOSPX</t>
  </si>
  <si>
    <t>VAUSPX</t>
  </si>
  <si>
    <t>AMBFLU</t>
  </si>
  <si>
    <t>EQUSPX</t>
  </si>
  <si>
    <t>ELONUT</t>
  </si>
  <si>
    <t>MYRSPI</t>
  </si>
  <si>
    <t>POTCRI</t>
  </si>
  <si>
    <t>POTNOD</t>
  </si>
  <si>
    <t>POTPEC</t>
  </si>
  <si>
    <t>RANFLU</t>
  </si>
  <si>
    <t>MENAQU</t>
  </si>
  <si>
    <t>PHAARU</t>
  </si>
  <si>
    <t>newcod</t>
  </si>
  <si>
    <t>Polygonum sp.</t>
  </si>
  <si>
    <t>Leptolynbia sp.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</si>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</sst>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6" borderId="32" xfId="0" applyNumberFormat="1" applyFont="1" applyFill="1" applyBorder="1" applyAlignment="1" applyProtection="1">
      <alignment horizontal="right" vertical="top"/>
      <protection hidden="1"/>
    </xf>
    <xf numFmtId="2" fontId="29" fillId="36" borderId="33" xfId="0" applyNumberFormat="1" applyFont="1" applyFill="1" applyBorder="1" applyAlignment="1" applyProtection="1">
      <alignment horizontal="left" vertical="top"/>
      <protection hidden="1"/>
    </xf>
    <xf numFmtId="2" fontId="30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6" borderId="37" xfId="0" applyFont="1" applyFill="1" applyBorder="1" applyAlignment="1" applyProtection="1">
      <alignment horizontal="left"/>
      <protection hidden="1"/>
    </xf>
    <xf numFmtId="0" fontId="22" fillId="36" borderId="38" xfId="0" applyFont="1" applyFill="1" applyBorder="1" applyAlignment="1" applyProtection="1">
      <alignment horizontal="right" vertical="top"/>
      <protection hidden="1"/>
    </xf>
    <xf numFmtId="0" fontId="32" fillId="36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0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26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41" borderId="15" xfId="0" applyNumberFormat="1" applyFont="1" applyFill="1" applyBorder="1" applyAlignment="1" applyProtection="1">
      <alignment horizontal="center"/>
      <protection locked="0"/>
    </xf>
    <xf numFmtId="2" fontId="0" fillId="41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7" xfId="0" applyFont="1" applyFill="1" applyBorder="1" applyAlignment="1" applyProtection="1">
      <alignment/>
      <protection hidden="1"/>
    </xf>
    <xf numFmtId="2" fontId="0" fillId="41" borderId="48" xfId="0" applyNumberFormat="1" applyFont="1" applyFill="1" applyBorder="1" applyAlignment="1" applyProtection="1">
      <alignment horizontal="center"/>
      <protection locked="0"/>
    </xf>
    <xf numFmtId="2" fontId="0" fillId="41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0" xfId="0" applyNumberFormat="1" applyFont="1" applyFill="1" applyBorder="1" applyAlignment="1" applyProtection="1">
      <alignment horizontal="center"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left"/>
      <protection hidden="1"/>
    </xf>
    <xf numFmtId="0" fontId="23" fillId="40" borderId="53" xfId="0" applyFont="1" applyFill="1" applyBorder="1" applyAlignment="1" applyProtection="1">
      <alignment/>
      <protection hidden="1"/>
    </xf>
    <xf numFmtId="2" fontId="0" fillId="41" borderId="54" xfId="0" applyNumberFormat="1" applyFont="1" applyFill="1" applyBorder="1" applyAlignment="1" applyProtection="1">
      <alignment horizontal="center"/>
      <protection locked="0"/>
    </xf>
    <xf numFmtId="2" fontId="0" fillId="41" borderId="55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6" xfId="0" applyNumberFormat="1" applyFont="1" applyFill="1" applyBorder="1" applyAlignment="1" applyProtection="1">
      <alignment horizontal="center"/>
      <protection hidden="1"/>
    </xf>
    <xf numFmtId="0" fontId="30" fillId="39" borderId="57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59" xfId="0" applyNumberFormat="1" applyFont="1" applyFill="1" applyBorder="1" applyAlignment="1" applyProtection="1">
      <alignment horizontal="right" vertical="top"/>
      <protection hidden="1"/>
    </xf>
    <xf numFmtId="0" fontId="0" fillId="39" borderId="59" xfId="0" applyFont="1" applyFill="1" applyBorder="1" applyAlignment="1" applyProtection="1">
      <alignment horizontal="left" vertical="top"/>
      <protection hidden="1"/>
    </xf>
    <xf numFmtId="0" fontId="23" fillId="40" borderId="60" xfId="0" applyFont="1" applyFill="1" applyBorder="1" applyAlignment="1" applyProtection="1">
      <alignment/>
      <protection hidden="1"/>
    </xf>
    <xf numFmtId="2" fontId="0" fillId="41" borderId="61" xfId="0" applyNumberFormat="1" applyFont="1" applyFill="1" applyBorder="1" applyAlignment="1" applyProtection="1">
      <alignment horizontal="center"/>
      <protection locked="0"/>
    </xf>
    <xf numFmtId="2" fontId="0" fillId="41" borderId="62" xfId="0" applyNumberFormat="1" applyFont="1" applyFill="1" applyBorder="1" applyAlignment="1" applyProtection="1">
      <alignment horizontal="center"/>
      <protection locked="0"/>
    </xf>
    <xf numFmtId="0" fontId="30" fillId="39" borderId="63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4" xfId="0" applyFont="1" applyFill="1" applyBorder="1" applyAlignment="1" applyProtection="1">
      <alignment/>
      <protection hidden="1"/>
    </xf>
    <xf numFmtId="2" fontId="0" fillId="41" borderId="65" xfId="0" applyNumberFormat="1" applyFont="1" applyFill="1" applyBorder="1" applyAlignment="1" applyProtection="1">
      <alignment horizontal="center"/>
      <protection locked="0"/>
    </xf>
    <xf numFmtId="2" fontId="0" fillId="41" borderId="66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7" xfId="0" applyNumberFormat="1" applyFont="1" applyFill="1" applyBorder="1" applyAlignment="1" applyProtection="1">
      <alignment horizontal="left"/>
      <protection hidden="1"/>
    </xf>
    <xf numFmtId="0" fontId="0" fillId="39" borderId="68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9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69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2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0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0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9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69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1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2" fontId="0" fillId="37" borderId="70" xfId="0" applyNumberFormat="1" applyFont="1" applyFill="1" applyBorder="1" applyAlignment="1" applyProtection="1">
      <alignment/>
      <protection locked="0"/>
    </xf>
    <xf numFmtId="2" fontId="0" fillId="37" borderId="49" xfId="0" applyNumberFormat="1" applyFont="1" applyFill="1" applyBorder="1" applyAlignment="1" applyProtection="1">
      <alignment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4" xfId="0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42" fillId="38" borderId="76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3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55" xfId="0" applyNumberFormat="1" applyFont="1" applyFill="1" applyBorder="1" applyAlignment="1" applyProtection="1">
      <alignment/>
      <protection locked="0"/>
    </xf>
    <xf numFmtId="0" fontId="0" fillId="34" borderId="55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0" fillId="38" borderId="74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4" xfId="0" applyFill="1" applyBorder="1" applyAlignment="1">
      <alignment/>
    </xf>
    <xf numFmtId="0" fontId="42" fillId="38" borderId="76" xfId="0" applyFont="1" applyFill="1" applyBorder="1" applyAlignment="1">
      <alignment horizontal="right"/>
    </xf>
    <xf numFmtId="0" fontId="27" fillId="38" borderId="77" xfId="0" applyNumberFormat="1" applyFont="1" applyFill="1" applyBorder="1" applyAlignment="1" applyProtection="1">
      <alignment/>
      <protection hidden="1"/>
    </xf>
    <xf numFmtId="1" fontId="44" fillId="34" borderId="79" xfId="0" applyNumberFormat="1" applyFont="1" applyFill="1" applyBorder="1" applyAlignment="1" applyProtection="1">
      <alignment horizontal="center"/>
      <protection hidden="1"/>
    </xf>
    <xf numFmtId="0" fontId="27" fillId="38" borderId="73" xfId="0" applyNumberFormat="1" applyFont="1" applyFill="1" applyBorder="1" applyAlignment="1" applyProtection="1">
      <alignment/>
      <protection hidden="1"/>
    </xf>
    <xf numFmtId="1" fontId="44" fillId="34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4" xfId="0" applyNumberFormat="1" applyFont="1" applyFill="1" applyBorder="1" applyAlignment="1" applyProtection="1">
      <alignment/>
      <protection locked="0"/>
    </xf>
    <xf numFmtId="2" fontId="0" fillId="37" borderId="80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6" xfId="0" applyNumberFormat="1" applyFont="1" applyFill="1" applyBorder="1" applyAlignment="1" applyProtection="1">
      <alignment/>
      <protection hidden="1"/>
    </xf>
    <xf numFmtId="0" fontId="0" fillId="40" borderId="81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2" xfId="0" applyFill="1" applyBorder="1" applyAlignment="1" applyProtection="1">
      <alignment/>
      <protection hidden="1"/>
    </xf>
    <xf numFmtId="0" fontId="0" fillId="38" borderId="82" xfId="0" applyFill="1" applyBorder="1" applyAlignment="1">
      <alignment/>
    </xf>
    <xf numFmtId="0" fontId="42" fillId="38" borderId="80" xfId="0" applyFont="1" applyFill="1" applyBorder="1" applyAlignment="1" applyProtection="1">
      <alignment horizontal="right"/>
      <protection hidden="1"/>
    </xf>
    <xf numFmtId="0" fontId="42" fillId="38" borderId="80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RHOMA_05-09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X31" sqref="X31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41522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8.787878787878787</v>
      </c>
      <c r="M5" s="52"/>
      <c r="N5" s="53" t="s">
        <v>16</v>
      </c>
      <c r="O5" s="54">
        <v>8.206896551724139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98</v>
      </c>
      <c r="C7" s="66">
        <v>2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8.466666666666667</v>
      </c>
      <c r="O8" s="84">
        <f>IF(ISERROR(AVERAGE(J23:J82)),"      -",AVERAGE(J23:J82))</f>
        <v>1.6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0.47</v>
      </c>
      <c r="C9" s="87">
        <v>74.6</v>
      </c>
      <c r="D9" s="88"/>
      <c r="E9" s="88"/>
      <c r="F9" s="89">
        <f aca="true" t="shared" si="0" ref="F9:F15">($B9*$B$7+$C9*$C$7)/100</f>
        <v>1.9526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3.18049611783375</v>
      </c>
      <c r="O9" s="84">
        <f>IF(ISERROR(STDEVP(J23:J82)),"      -",STDEVP(J23:J82))</f>
        <v>0.6110100926607787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2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 t="shared" si="0"/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13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0.0388</v>
      </c>
      <c r="C12" s="120">
        <v>4.21</v>
      </c>
      <c r="D12" s="111"/>
      <c r="E12" s="111"/>
      <c r="F12" s="112">
        <f t="shared" si="0"/>
        <v>0.122224</v>
      </c>
      <c r="G12" s="121"/>
      <c r="H12" s="67"/>
      <c r="I12" s="122" t="s">
        <v>39</v>
      </c>
      <c r="J12" s="123"/>
      <c r="K12" s="116">
        <f>COUNTIF($G$23:$G$82,"=ALG")</f>
        <v>5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/>
      <c r="C13" s="120">
        <v>70.47</v>
      </c>
      <c r="D13" s="111"/>
      <c r="E13" s="111"/>
      <c r="F13" s="112">
        <f t="shared" si="0"/>
        <v>1.4094</v>
      </c>
      <c r="G13" s="121"/>
      <c r="H13" s="67"/>
      <c r="I13" s="129" t="s">
        <v>41</v>
      </c>
      <c r="J13" s="123"/>
      <c r="K13" s="116">
        <f>COUNTIF($G$23:$G$82,"=BRm")+COUNTIF($G$23:$G$82,"=BRh")</f>
        <v>2</v>
      </c>
      <c r="L13" s="117"/>
      <c r="M13" s="130" t="s">
        <v>42</v>
      </c>
      <c r="N13" s="131">
        <f>COUNTIF(F23:F82,"&gt;0")</f>
        <v>18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 t="shared" si="0"/>
        <v>0</v>
      </c>
      <c r="G14" s="121"/>
      <c r="H14" s="67"/>
      <c r="I14" s="129" t="s">
        <v>44</v>
      </c>
      <c r="J14" s="123"/>
      <c r="K14" s="116">
        <f>COUNTIF($G$23:$G$82,"=PTE")+COUNTIF($G$23:$G$82,"=LIC")</f>
        <v>1</v>
      </c>
      <c r="L14" s="117"/>
      <c r="M14" s="134" t="s">
        <v>45</v>
      </c>
      <c r="N14" s="135">
        <f>COUNTIF($I$23:$I$82,"&gt;-1")</f>
        <v>15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>
        <v>0.43</v>
      </c>
      <c r="C15" s="139">
        <v>0.02</v>
      </c>
      <c r="D15" s="111"/>
      <c r="E15" s="111"/>
      <c r="F15" s="112">
        <f t="shared" si="0"/>
        <v>0.4218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8</v>
      </c>
      <c r="L15" s="117"/>
      <c r="M15" s="140" t="s">
        <v>48</v>
      </c>
      <c r="N15" s="141">
        <f>COUNTIF(J23:J82,"=1")</f>
        <v>7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7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0.47</v>
      </c>
      <c r="C17" s="120">
        <v>74.59</v>
      </c>
      <c r="D17" s="111"/>
      <c r="E17" s="111"/>
      <c r="F17" s="147"/>
      <c r="G17" s="112">
        <f>($B17*$B$7+$C17*$C$7)/100</f>
        <v>1.9524000000000001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1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>
        <v>0.0034</v>
      </c>
      <c r="D18" s="111"/>
      <c r="E18" s="152" t="s">
        <v>54</v>
      </c>
      <c r="F18" s="147"/>
      <c r="G18" s="112">
        <f>($B18*$B$7+$C18*$C$7)/100</f>
        <v>6.8E-05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56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 t="str">
        <f>IF(G19=F19,"","ATTENTION : le total par grp. floristiques doit être égal")</f>
        <v>ATTENTION : le total par grp. floristiques doit être égal</v>
      </c>
      <c r="E19" s="160" t="str">
        <f>IF(G19=F19,"","au total par grp. Fonctionnels !")</f>
        <v>au total par grp. Fonctionnels !</v>
      </c>
      <c r="F19" s="161">
        <f>SUM(F11:F15)</f>
        <v>1.9534239999999998</v>
      </c>
      <c r="G19" s="161">
        <f>SUM(G16:G18)</f>
        <v>1.952468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57</v>
      </c>
    </row>
    <row r="20" spans="1:23" ht="12.75">
      <c r="A20" s="169" t="s">
        <v>58</v>
      </c>
      <c r="B20" s="170">
        <f>SUM(B23:B82)</f>
        <v>0.4792868054145216</v>
      </c>
      <c r="C20" s="171">
        <f>SUM(C23:C82)</f>
        <v>74.69860234419673</v>
      </c>
      <c r="D20" s="172"/>
      <c r="E20" s="173" t="s">
        <v>54</v>
      </c>
      <c r="F20" s="174">
        <f>($B20*$B$7+$C20*$C$7)/100</f>
        <v>1.9636731161901657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59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60</v>
      </c>
      <c r="B21" s="184">
        <f>B20*B7/100</f>
        <v>0.4697010693062312</v>
      </c>
      <c r="C21" s="184">
        <f>C20*C7/100</f>
        <v>1.4939720468839346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1.9636731161901657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61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62</v>
      </c>
      <c r="B22" s="195" t="s">
        <v>63</v>
      </c>
      <c r="C22" s="196" t="s">
        <v>63</v>
      </c>
      <c r="D22" s="143"/>
      <c r="E22" s="143"/>
      <c r="F22" s="197" t="s">
        <v>64</v>
      </c>
      <c r="G22" s="198" t="s">
        <v>65</v>
      </c>
      <c r="H22" s="143"/>
      <c r="I22" s="199" t="s">
        <v>66</v>
      </c>
      <c r="J22" s="199" t="s">
        <v>67</v>
      </c>
      <c r="K22" s="200" t="s">
        <v>68</v>
      </c>
      <c r="L22" s="200"/>
      <c r="M22" s="200"/>
      <c r="N22" s="200"/>
      <c r="O22" s="201"/>
      <c r="P22" s="202" t="s">
        <v>69</v>
      </c>
      <c r="Q22" s="203" t="s">
        <v>70</v>
      </c>
      <c r="R22" s="204" t="s">
        <v>71</v>
      </c>
      <c r="S22" s="205" t="s">
        <v>72</v>
      </c>
      <c r="T22" s="206" t="s">
        <v>73</v>
      </c>
      <c r="U22" s="207" t="s">
        <v>74</v>
      </c>
      <c r="V22" s="205" t="s">
        <v>75</v>
      </c>
      <c r="Y22" s="8" t="s">
        <v>76</v>
      </c>
      <c r="Z22" s="8" t="s">
        <v>77</v>
      </c>
      <c r="AA22" s="208" t="s">
        <v>78</v>
      </c>
      <c r="AB22" s="208" t="s">
        <v>79</v>
      </c>
      <c r="AC22" s="209" t="s">
        <v>80</v>
      </c>
    </row>
    <row r="23" spans="1:54" ht="12.75">
      <c r="A23" s="210" t="s">
        <v>81</v>
      </c>
      <c r="B23" s="211">
        <v>0.01293675111036547</v>
      </c>
      <c r="C23" s="212">
        <v>0.012223270440251574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1" ref="F23:F82">($B23*$B$7+$C23*$C$7)/100</f>
        <v>0.012922481496963194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2" ref="Q23:Q82">IF(ISTEXT(H23),"",(B23*$B$7/100)+(C23*$C$7/100))</f>
        <v>0.012922481496963192</v>
      </c>
      <c r="R23" s="222">
        <f aca="true" t="shared" si="3" ref="R23:R82">IF(OR(ISTEXT(H23),Q23=0),"",IF(Q23&lt;0.1,1,IF(Q23&lt;1,2,IF(Q23&lt;10,3,IF(Q23&lt;50,4,IF(Q23&gt;=50,5,""))))))</f>
        <v>1</v>
      </c>
      <c r="S23" s="222">
        <f aca="true" t="shared" si="4" ref="S23:S82">IF(ISERROR(R23*I23),0,R23*I23)</f>
        <v>6</v>
      </c>
      <c r="T23" s="222">
        <f aca="true" t="shared" si="5" ref="T23:T82">IF(ISERROR(R23*I23*J23),0,R23*I23*J23)</f>
        <v>6</v>
      </c>
      <c r="U23" s="222">
        <f aca="true" t="shared" si="6" ref="U23:U82">IF(ISERROR(R23*J23),0,R23*J23)</f>
        <v>1</v>
      </c>
      <c r="V23" s="223">
        <f aca="true" t="shared" si="7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8" ref="BB23:BB82">IF(A23="","",1)</f>
        <v>1</v>
      </c>
    </row>
    <row r="24" spans="1:54" ht="12.75">
      <c r="A24" s="228" t="s">
        <v>82</v>
      </c>
      <c r="B24" s="229">
        <v>0</v>
      </c>
      <c r="C24" s="230">
        <v>0.00017095483133218982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Spirogyra sp.</v>
      </c>
      <c r="E24" s="231" t="e">
        <f>IF(D24="",,VLOOKUP(D24,D$22:D23,1,0))</f>
        <v>#N/A</v>
      </c>
      <c r="F24" s="232">
        <f t="shared" si="1"/>
        <v>3.4190966266437966E-06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10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Spirogyra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1147</v>
      </c>
      <c r="Q24" s="221">
        <f t="shared" si="2"/>
        <v>3.4190966266437966E-06</v>
      </c>
      <c r="R24" s="222">
        <f t="shared" si="3"/>
        <v>1</v>
      </c>
      <c r="S24" s="222">
        <f t="shared" si="4"/>
        <v>10</v>
      </c>
      <c r="T24" s="222">
        <f t="shared" si="5"/>
        <v>10</v>
      </c>
      <c r="U24" s="234">
        <f t="shared" si="6"/>
        <v>1</v>
      </c>
      <c r="V24" s="223">
        <f t="shared" si="7"/>
      </c>
      <c r="W24" s="224" t="s">
        <v>55</v>
      </c>
      <c r="Y24" s="225" t="str">
        <f>IF(A24="new.cod","NEWCOD",IF(AND((Z24=""),ISTEXT(A24)),A24,IF(Z24="","",INDEX('[1]liste reference'!$A$8:$A$904,Z24))))</f>
        <v>SPISPX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69</v>
      </c>
      <c r="AA24" s="226"/>
      <c r="AB24" s="227"/>
      <c r="AC24" s="227"/>
      <c r="BB24" s="8">
        <f t="shared" si="8"/>
        <v>1</v>
      </c>
    </row>
    <row r="25" spans="1:54" ht="12.75">
      <c r="A25" s="228" t="s">
        <v>83</v>
      </c>
      <c r="B25" s="229">
        <v>0.02587350222073094</v>
      </c>
      <c r="C25" s="230">
        <v>4.145225843339051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Tetraspora sp.</v>
      </c>
      <c r="E25" s="231" t="e">
        <f>IF(D25="",,VLOOKUP(D25,D$22:D24,1,0))</f>
        <v>#N/A</v>
      </c>
      <c r="F25" s="232">
        <f t="shared" si="1"/>
        <v>0.10826054904309734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12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Tetraspora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1138</v>
      </c>
      <c r="Q25" s="221">
        <f t="shared" si="2"/>
        <v>0.10826054904309734</v>
      </c>
      <c r="R25" s="222">
        <f t="shared" si="3"/>
        <v>2</v>
      </c>
      <c r="S25" s="222">
        <f t="shared" si="4"/>
        <v>24</v>
      </c>
      <c r="T25" s="222">
        <f t="shared" si="5"/>
        <v>24</v>
      </c>
      <c r="U25" s="234">
        <f t="shared" si="6"/>
        <v>2</v>
      </c>
      <c r="V25" s="223">
        <f t="shared" si="7"/>
      </c>
      <c r="W25" s="224" t="s">
        <v>55</v>
      </c>
      <c r="Y25" s="225" t="str">
        <f>IF(A25="new.cod","NEWCOD",IF(AND((Z25=""),ISTEXT(A25)),A25,IF(Z25="","",INDEX('[1]liste reference'!$A$8:$A$904,Z25))))</f>
        <v>TETSPX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73</v>
      </c>
      <c r="AA25" s="226"/>
      <c r="AB25" s="227"/>
      <c r="AC25" s="227"/>
      <c r="BB25" s="8">
        <f t="shared" si="8"/>
        <v>1</v>
      </c>
    </row>
    <row r="26" spans="1:54" ht="12.75">
      <c r="A26" s="228" t="s">
        <v>84</v>
      </c>
      <c r="B26" s="229">
        <v>0</v>
      </c>
      <c r="C26" s="230">
        <v>0.0008547741566609492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Ulothrix sp.</v>
      </c>
      <c r="E26" s="231" t="e">
        <f>IF(D26="",,VLOOKUP(D26,D$22:D25,1,0))</f>
        <v>#N/A</v>
      </c>
      <c r="F26" s="232">
        <f t="shared" si="1"/>
        <v>1.7095483133218983E-05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Ulothrix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1142</v>
      </c>
      <c r="Q26" s="221">
        <f t="shared" si="2"/>
        <v>1.7095483133218983E-05</v>
      </c>
      <c r="R26" s="222">
        <f t="shared" si="3"/>
        <v>1</v>
      </c>
      <c r="S26" s="222">
        <f t="shared" si="4"/>
        <v>10</v>
      </c>
      <c r="T26" s="222">
        <f t="shared" si="5"/>
        <v>10</v>
      </c>
      <c r="U26" s="234">
        <f t="shared" si="6"/>
        <v>1</v>
      </c>
      <c r="V26" s="223">
        <f t="shared" si="7"/>
      </c>
      <c r="W26" s="224" t="s">
        <v>55</v>
      </c>
      <c r="Y26" s="225" t="str">
        <f>IF(A26="new.cod","NEWCOD",IF(AND((Z26=""),ISTEXT(A26)),A26,IF(Z26="","",INDEX('[1]liste reference'!$A$8:$A$904,Z26))))</f>
        <v>ULOSPX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81</v>
      </c>
      <c r="AA26" s="226"/>
      <c r="AB26" s="227"/>
      <c r="AC26" s="227"/>
      <c r="BB26" s="8">
        <f t="shared" si="8"/>
        <v>1</v>
      </c>
    </row>
    <row r="27" spans="1:54" ht="12.75">
      <c r="A27" s="228" t="s">
        <v>85</v>
      </c>
      <c r="B27" s="229">
        <v>0</v>
      </c>
      <c r="C27" s="230">
        <v>0.05248313321898227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Vaucheria sp.</v>
      </c>
      <c r="E27" s="231" t="e">
        <f>IF(D27="",,VLOOKUP(D27,D$22:D26,1,0))</f>
        <v>#N/A</v>
      </c>
      <c r="F27" s="232">
        <f t="shared" si="1"/>
        <v>0.0010496626643796455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4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Vaucheria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6193</v>
      </c>
      <c r="Q27" s="221">
        <f t="shared" si="2"/>
        <v>0.0010496626643796455</v>
      </c>
      <c r="R27" s="222">
        <f t="shared" si="3"/>
        <v>1</v>
      </c>
      <c r="S27" s="222">
        <f t="shared" si="4"/>
        <v>4</v>
      </c>
      <c r="T27" s="222">
        <f t="shared" si="5"/>
        <v>4</v>
      </c>
      <c r="U27" s="234">
        <f t="shared" si="6"/>
        <v>1</v>
      </c>
      <c r="V27" s="223">
        <f t="shared" si="7"/>
      </c>
      <c r="W27" s="224" t="s">
        <v>55</v>
      </c>
      <c r="Y27" s="225" t="str">
        <f>IF(A27="new.cod","NEWCOD",IF(AND((Z27=""),ISTEXT(A27)),A27,IF(Z27="","",INDEX('[1]liste reference'!$A$8:$A$904,Z27))))</f>
        <v>VAUSPX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82</v>
      </c>
      <c r="AA27" s="226"/>
      <c r="AB27" s="227"/>
      <c r="AC27" s="227"/>
      <c r="BB27" s="8">
        <f t="shared" si="8"/>
        <v>1</v>
      </c>
    </row>
    <row r="28" spans="1:54" ht="12.75">
      <c r="A28" s="228" t="s">
        <v>86</v>
      </c>
      <c r="B28" s="229">
        <v>0</v>
      </c>
      <c r="C28" s="230">
        <v>24.871355060034304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Amblystegium fluviatile</v>
      </c>
      <c r="E28" s="231" t="e">
        <f>IF(D28="",,VLOOKUP(D28,D$22:D27,1,0))</f>
        <v>#N/A</v>
      </c>
      <c r="F28" s="232">
        <f t="shared" si="1"/>
        <v>0.49742710120068606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11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Amblystegium fluviatile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1223</v>
      </c>
      <c r="Q28" s="221">
        <f t="shared" si="2"/>
        <v>0.49742710120068606</v>
      </c>
      <c r="R28" s="222">
        <f t="shared" si="3"/>
        <v>2</v>
      </c>
      <c r="S28" s="222">
        <f t="shared" si="4"/>
        <v>22</v>
      </c>
      <c r="T28" s="222">
        <f t="shared" si="5"/>
        <v>44</v>
      </c>
      <c r="U28" s="234">
        <f t="shared" si="6"/>
        <v>4</v>
      </c>
      <c r="V28" s="223">
        <f t="shared" si="7"/>
      </c>
      <c r="W28" s="235" t="s">
        <v>55</v>
      </c>
      <c r="Y28" s="225" t="str">
        <f>IF(A28="new.cod","NEWCOD",IF(AND((Z28=""),ISTEXT(A28)),A28,IF(Z28="","",INDEX('[1]liste reference'!$A$8:$A$904,Z28))))</f>
        <v>AMBFLU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147</v>
      </c>
      <c r="AA28" s="226"/>
      <c r="AB28" s="227"/>
      <c r="AC28" s="227"/>
      <c r="BB28" s="8">
        <f t="shared" si="8"/>
        <v>1</v>
      </c>
    </row>
    <row r="29" spans="1:54" ht="12.75">
      <c r="A29" s="228" t="s">
        <v>16</v>
      </c>
      <c r="B29" s="229">
        <v>0</v>
      </c>
      <c r="C29" s="230">
        <v>45.59748427672957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Cinclidotus riparius</v>
      </c>
      <c r="E29" s="231" t="e">
        <f>IF(D29="",,VLOOKUP(D29,D$22:D28,1,0))</f>
        <v>#N/A</v>
      </c>
      <c r="F29" s="232">
        <f t="shared" si="1"/>
        <v>0.9119496855345913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13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Cinclidotus riparius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1321</v>
      </c>
      <c r="Q29" s="221">
        <f t="shared" si="2"/>
        <v>0.9119496855345913</v>
      </c>
      <c r="R29" s="222">
        <f t="shared" si="3"/>
        <v>2</v>
      </c>
      <c r="S29" s="222">
        <f t="shared" si="4"/>
        <v>26</v>
      </c>
      <c r="T29" s="222">
        <f t="shared" si="5"/>
        <v>52</v>
      </c>
      <c r="U29" s="234">
        <f t="shared" si="6"/>
        <v>4</v>
      </c>
      <c r="V29" s="223">
        <f t="shared" si="7"/>
      </c>
      <c r="W29" s="224" t="s">
        <v>55</v>
      </c>
      <c r="Y29" s="225" t="str">
        <f>IF(A29="new.cod","NEWCOD",IF(AND((Z29=""),ISTEXT(A29)),A29,IF(Z29="","",INDEX('[1]liste reference'!$A$8:$A$904,Z29))))</f>
        <v>CINRIP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174</v>
      </c>
      <c r="AA29" s="226"/>
      <c r="AB29" s="227"/>
      <c r="AC29" s="227"/>
      <c r="BB29" s="8">
        <f t="shared" si="8"/>
        <v>1</v>
      </c>
    </row>
    <row r="30" spans="1:54" ht="12.75">
      <c r="A30" s="228" t="s">
        <v>87</v>
      </c>
      <c r="B30" s="229">
        <v>0</v>
      </c>
      <c r="C30" s="230">
        <v>0.0017095483133218983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Equisetum sp.</v>
      </c>
      <c r="E30" s="231" t="e">
        <f>IF(D30="",,VLOOKUP(D30,D$22:D29,1,0))</f>
        <v>#N/A</v>
      </c>
      <c r="F30" s="232">
        <f t="shared" si="1"/>
        <v>3.4190966266437966E-05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PTE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6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Equisetum sp.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1383</v>
      </c>
      <c r="Q30" s="221">
        <f t="shared" si="2"/>
        <v>3.4190966266437966E-05</v>
      </c>
      <c r="R30" s="222">
        <f t="shared" si="3"/>
        <v>1</v>
      </c>
      <c r="S30" s="222">
        <f t="shared" si="4"/>
        <v>0</v>
      </c>
      <c r="T30" s="222">
        <f t="shared" si="5"/>
        <v>0</v>
      </c>
      <c r="U30" s="234">
        <f t="shared" si="6"/>
        <v>0</v>
      </c>
      <c r="V30" s="223">
        <f t="shared" si="7"/>
      </c>
      <c r="W30" s="224" t="s">
        <v>55</v>
      </c>
      <c r="X30" s="224"/>
      <c r="Y30" s="225" t="str">
        <f>IF(A30="new.cod","NEWCOD",IF(AND((Z30=""),ISTEXT(A30)),A30,IF(Z30="","",INDEX('[1]liste reference'!$A$8:$A$904,Z30))))</f>
        <v>EQUSPX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283</v>
      </c>
      <c r="AA30" s="226"/>
      <c r="AB30" s="227"/>
      <c r="AC30" s="227"/>
      <c r="BB30" s="8">
        <f t="shared" si="8"/>
        <v>1</v>
      </c>
    </row>
    <row r="31" spans="1:54" ht="12.75">
      <c r="A31" s="228" t="s">
        <v>88</v>
      </c>
      <c r="B31" s="229">
        <v>0.001293675111036547</v>
      </c>
      <c r="C31" s="230">
        <v>0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Elodea nuttalii</v>
      </c>
      <c r="E31" s="231" t="e">
        <f>IF(D31="",,VLOOKUP(D31,D$22:D30,1,0))</f>
        <v>#N/A</v>
      </c>
      <c r="F31" s="232">
        <f t="shared" si="1"/>
        <v>0.001267801608815816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PHy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7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8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Elodea nuttalii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1588</v>
      </c>
      <c r="Q31" s="221">
        <f t="shared" si="2"/>
        <v>0.001267801608815816</v>
      </c>
      <c r="R31" s="222">
        <f t="shared" si="3"/>
        <v>1</v>
      </c>
      <c r="S31" s="222">
        <f t="shared" si="4"/>
        <v>8</v>
      </c>
      <c r="T31" s="222">
        <f t="shared" si="5"/>
        <v>16</v>
      </c>
      <c r="U31" s="234">
        <f t="shared" si="6"/>
        <v>2</v>
      </c>
      <c r="V31" s="223">
        <f t="shared" si="7"/>
      </c>
      <c r="W31" s="224" t="s">
        <v>55</v>
      </c>
      <c r="Y31" s="225" t="str">
        <f>IF(A31="new.cod","NEWCOD",IF(AND((Z31=""),ISTEXT(A31)),A31,IF(Z31="","",INDEX('[1]liste reference'!$A$8:$A$904,Z31))))</f>
        <v>ELONUT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343</v>
      </c>
      <c r="AA31" s="226"/>
      <c r="AB31" s="227"/>
      <c r="AC31" s="227"/>
      <c r="BB31" s="8">
        <f t="shared" si="8"/>
        <v>1</v>
      </c>
    </row>
    <row r="32" spans="1:54" ht="12.75">
      <c r="A32" s="228" t="s">
        <v>89</v>
      </c>
      <c r="B32" s="229">
        <v>0.19405126665548203</v>
      </c>
      <c r="C32" s="230">
        <v>0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Myriophyllum spicatum</v>
      </c>
      <c r="E32" s="231" t="e">
        <f>IF(D32="",,VLOOKUP(D32,D$22:D31,1,0))</f>
        <v>#N/A</v>
      </c>
      <c r="F32" s="232">
        <f t="shared" si="1"/>
        <v>0.1901702413223724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PHy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7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8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2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Myriophyllum spicatum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1778</v>
      </c>
      <c r="Q32" s="221">
        <f t="shared" si="2"/>
        <v>0.1901702413223724</v>
      </c>
      <c r="R32" s="222">
        <f t="shared" si="3"/>
        <v>2</v>
      </c>
      <c r="S32" s="222">
        <f t="shared" si="4"/>
        <v>16</v>
      </c>
      <c r="T32" s="222">
        <f t="shared" si="5"/>
        <v>32</v>
      </c>
      <c r="U32" s="234">
        <f t="shared" si="6"/>
        <v>4</v>
      </c>
      <c r="V32" s="223">
        <f t="shared" si="7"/>
      </c>
      <c r="W32" s="224" t="s">
        <v>55</v>
      </c>
      <c r="Y32" s="225" t="str">
        <f>IF(A32="new.cod","NEWCOD",IF(AND((Z32=""),ISTEXT(A32)),A32,IF(Z32="","",INDEX('[1]liste reference'!$A$8:$A$904,Z32))))</f>
        <v>MYRSPI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373</v>
      </c>
      <c r="AA32" s="226"/>
      <c r="AB32" s="227"/>
      <c r="AC32" s="227"/>
      <c r="BB32" s="8">
        <f t="shared" si="8"/>
        <v>1</v>
      </c>
    </row>
    <row r="33" spans="1:54" ht="12.75">
      <c r="A33" s="228" t="s">
        <v>90</v>
      </c>
      <c r="B33" s="229">
        <v>0</v>
      </c>
      <c r="C33" s="230">
        <v>0.008547741566609491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Potamogeton crispus</v>
      </c>
      <c r="E33" s="231" t="e">
        <f>IF(D33="",,VLOOKUP(D33,D$22:D32,1,0))</f>
        <v>#N/A</v>
      </c>
      <c r="F33" s="232">
        <f t="shared" si="1"/>
        <v>0.00017095483133218982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PHy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7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7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2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Potamogeton crispus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1645</v>
      </c>
      <c r="Q33" s="221">
        <f t="shared" si="2"/>
        <v>0.00017095483133218982</v>
      </c>
      <c r="R33" s="222">
        <f t="shared" si="3"/>
        <v>1</v>
      </c>
      <c r="S33" s="222">
        <f t="shared" si="4"/>
        <v>7</v>
      </c>
      <c r="T33" s="222">
        <f t="shared" si="5"/>
        <v>14</v>
      </c>
      <c r="U33" s="234">
        <f t="shared" si="6"/>
        <v>2</v>
      </c>
      <c r="V33" s="223">
        <f t="shared" si="7"/>
      </c>
      <c r="W33" s="224" t="s">
        <v>55</v>
      </c>
      <c r="Y33" s="225" t="str">
        <f>IF(A33="new.cod","NEWCOD",IF(AND((Z33=""),ISTEXT(A33)),A33,IF(Z33="","",INDEX('[1]liste reference'!$A$8:$A$904,Z33))))</f>
        <v>POTCRI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409</v>
      </c>
      <c r="AA33" s="226"/>
      <c r="AB33" s="227"/>
      <c r="AC33" s="227"/>
      <c r="BB33" s="8">
        <f t="shared" si="8"/>
        <v>1</v>
      </c>
    </row>
    <row r="34" spans="1:54" ht="12.75">
      <c r="A34" s="228" t="s">
        <v>91</v>
      </c>
      <c r="B34" s="229">
        <v>0.06468375555182736</v>
      </c>
      <c r="C34" s="230">
        <v>0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Potamogeton nodosus</v>
      </c>
      <c r="E34" s="231" t="e">
        <f>IF(D34="",,VLOOKUP(D34,D$22:D33,1,0))</f>
        <v>#N/A</v>
      </c>
      <c r="F34" s="236">
        <f t="shared" si="1"/>
        <v>0.06339008044079081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PHy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7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4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3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Potamogeton nodosus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1652</v>
      </c>
      <c r="Q34" s="221">
        <f t="shared" si="2"/>
        <v>0.06339008044079081</v>
      </c>
      <c r="R34" s="222">
        <f t="shared" si="3"/>
        <v>1</v>
      </c>
      <c r="S34" s="222">
        <f t="shared" si="4"/>
        <v>4</v>
      </c>
      <c r="T34" s="222">
        <f t="shared" si="5"/>
        <v>12</v>
      </c>
      <c r="U34" s="234">
        <f t="shared" si="6"/>
        <v>3</v>
      </c>
      <c r="V34" s="223">
        <f t="shared" si="7"/>
      </c>
      <c r="W34" s="224" t="s">
        <v>55</v>
      </c>
      <c r="Y34" s="225" t="str">
        <f>IF(A34="new.cod","NEWCOD",IF(AND((Z34=""),ISTEXT(A34)),A34,IF(Z34="","",INDEX('[1]liste reference'!$A$8:$A$904,Z34))))</f>
        <v>POTNOD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418</v>
      </c>
      <c r="AA34" s="226"/>
      <c r="AB34" s="227"/>
      <c r="AC34" s="227"/>
      <c r="BB34" s="8">
        <f t="shared" si="8"/>
        <v>1</v>
      </c>
    </row>
    <row r="35" spans="1:54" ht="12.75">
      <c r="A35" s="228" t="s">
        <v>92</v>
      </c>
      <c r="B35" s="229">
        <v>0.01293675111036547</v>
      </c>
      <c r="C35" s="230">
        <v>0.0034190966266437967</v>
      </c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>Potamogeton pectinatus</v>
      </c>
      <c r="E35" s="231" t="e">
        <f>IF(D35="",,VLOOKUP(D35,D$22:D34,1,0))</f>
        <v>#N/A</v>
      </c>
      <c r="F35" s="236">
        <f t="shared" si="1"/>
        <v>0.012746398020691036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PHy</v>
      </c>
      <c r="H35" s="21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7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2</v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2</v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Potamogeton pectinatus</v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1655</v>
      </c>
      <c r="Q35" s="221">
        <f t="shared" si="2"/>
        <v>0.012746398020691038</v>
      </c>
      <c r="R35" s="222">
        <f t="shared" si="3"/>
        <v>1</v>
      </c>
      <c r="S35" s="222">
        <f t="shared" si="4"/>
        <v>2</v>
      </c>
      <c r="T35" s="222">
        <f t="shared" si="5"/>
        <v>4</v>
      </c>
      <c r="U35" s="234">
        <f t="shared" si="6"/>
        <v>2</v>
      </c>
      <c r="V35" s="223">
        <f t="shared" si="7"/>
      </c>
      <c r="W35" s="224" t="s">
        <v>55</v>
      </c>
      <c r="Y35" s="225" t="str">
        <f>IF(A35="new.cod","NEWCOD",IF(AND((Z35=""),ISTEXT(A35)),A35,IF(Z35="","",INDEX('[1]liste reference'!$A$8:$A$904,Z35))))</f>
        <v>POTPEC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421</v>
      </c>
      <c r="AA35" s="226"/>
      <c r="AB35" s="227"/>
      <c r="AC35" s="227"/>
      <c r="BB35" s="8">
        <f t="shared" si="8"/>
        <v>1</v>
      </c>
    </row>
    <row r="36" spans="1:54" ht="12.75">
      <c r="A36" s="228" t="s">
        <v>93</v>
      </c>
      <c r="B36" s="229">
        <v>0.10349400888292376</v>
      </c>
      <c r="C36" s="230">
        <v>0</v>
      </c>
      <c r="D36" s="213" t="str">
        <f>IF(ISERROR(VLOOKUP($A36,'[1]liste reference'!$A$7:$D$904,2,0)),IF(ISERROR(VLOOKUP($A36,'[1]liste reference'!$B$7:$D$904,1,0)),"",VLOOKUP($A36,'[1]liste reference'!$B$7:$D$904,1,0)),VLOOKUP($A36,'[1]liste reference'!$A$7:$D$904,2,0))</f>
        <v>Ranunculus fluitans</v>
      </c>
      <c r="E36" s="231" t="e">
        <f>IF(D36="",,VLOOKUP(D36,D$22:D35,1,0))</f>
        <v>#N/A</v>
      </c>
      <c r="F36" s="236">
        <f t="shared" si="1"/>
        <v>0.10142412870526529</v>
      </c>
      <c r="G36" s="21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PHy</v>
      </c>
      <c r="H36" s="21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7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  <v>10</v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  <v>2</v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Ranunculus fluitans</v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1903</v>
      </c>
      <c r="Q36" s="221">
        <f t="shared" si="2"/>
        <v>0.10142412870526529</v>
      </c>
      <c r="R36" s="222">
        <f t="shared" si="3"/>
        <v>2</v>
      </c>
      <c r="S36" s="222">
        <f t="shared" si="4"/>
        <v>20</v>
      </c>
      <c r="T36" s="222">
        <f t="shared" si="5"/>
        <v>40</v>
      </c>
      <c r="U36" s="234">
        <f t="shared" si="6"/>
        <v>4</v>
      </c>
      <c r="V36" s="223">
        <f t="shared" si="7"/>
      </c>
      <c r="W36" s="224" t="s">
        <v>55</v>
      </c>
      <c r="Y36" s="225" t="str">
        <f>IF(A36="new.cod","NEWCOD",IF(AND((Z36=""),ISTEXT(A36)),A36,IF(Z36="","",INDEX('[1]liste reference'!$A$8:$A$904,Z36))))</f>
        <v>RANFLU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456</v>
      </c>
      <c r="AA36" s="226"/>
      <c r="AB36" s="227"/>
      <c r="AC36" s="227"/>
      <c r="BB36" s="8">
        <f t="shared" si="8"/>
        <v>1</v>
      </c>
    </row>
    <row r="37" spans="1:54" ht="12.75">
      <c r="A37" s="228" t="s">
        <v>94</v>
      </c>
      <c r="B37" s="229">
        <v>0</v>
      </c>
      <c r="C37" s="230">
        <v>0.0017095483133218983</v>
      </c>
      <c r="D37" s="213" t="str">
        <f>IF(ISERROR(VLOOKUP($A37,'[1]liste reference'!$A$7:$D$904,2,0)),IF(ISERROR(VLOOKUP($A37,'[1]liste reference'!$B$7:$D$904,1,0)),"",VLOOKUP($A37,'[1]liste reference'!$B$7:$D$904,1,0)),VLOOKUP($A37,'[1]liste reference'!$A$7:$D$904,2,0))</f>
        <v>Mentha aquatica</v>
      </c>
      <c r="E37" s="231" t="e">
        <f>IF(D37="",,VLOOKUP(D37,D$22:D36,1,0))</f>
        <v>#N/A</v>
      </c>
      <c r="F37" s="236">
        <f t="shared" si="1"/>
        <v>3.4190966266437966E-05</v>
      </c>
      <c r="G37" s="21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PHe</v>
      </c>
      <c r="H37" s="21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8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>12</v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>1</v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Mentha aquatica</v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1791</v>
      </c>
      <c r="Q37" s="221">
        <f t="shared" si="2"/>
        <v>3.4190966266437966E-05</v>
      </c>
      <c r="R37" s="222">
        <f t="shared" si="3"/>
        <v>1</v>
      </c>
      <c r="S37" s="222">
        <f t="shared" si="4"/>
        <v>12</v>
      </c>
      <c r="T37" s="222">
        <f t="shared" si="5"/>
        <v>12</v>
      </c>
      <c r="U37" s="234">
        <f t="shared" si="6"/>
        <v>1</v>
      </c>
      <c r="V37" s="223">
        <f t="shared" si="7"/>
      </c>
      <c r="W37" s="224" t="s">
        <v>55</v>
      </c>
      <c r="Y37" s="225" t="str">
        <f>IF(A37="new.cod","NEWCOD",IF(AND((Z37=""),ISTEXT(A37)),A37,IF(Z37="","",INDEX('[1]liste reference'!$A$8:$A$904,Z37))))</f>
        <v>MENAQU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607</v>
      </c>
      <c r="AA37" s="226"/>
      <c r="AB37" s="227"/>
      <c r="AC37" s="227"/>
      <c r="BB37" s="8">
        <f t="shared" si="8"/>
        <v>1</v>
      </c>
    </row>
    <row r="38" spans="1:54" ht="12.75">
      <c r="A38" s="228" t="s">
        <v>95</v>
      </c>
      <c r="B38" s="229">
        <v>0</v>
      </c>
      <c r="C38" s="230">
        <v>0.0017095483133218983</v>
      </c>
      <c r="D38" s="213" t="str">
        <f>IF(ISERROR(VLOOKUP($A38,'[1]liste reference'!$A$7:$D$904,2,0)),IF(ISERROR(VLOOKUP($A38,'[1]liste reference'!$B$7:$D$904,1,0)),"",VLOOKUP($A38,'[1]liste reference'!$B$7:$D$904,1,0)),VLOOKUP($A38,'[1]liste reference'!$A$7:$D$904,2,0))</f>
        <v>Phalaris arundinacea</v>
      </c>
      <c r="E38" s="231" t="e">
        <f>IF(D38="",,VLOOKUP(D38,D$22:D37,1,0))</f>
        <v>#N/A</v>
      </c>
      <c r="F38" s="236">
        <f t="shared" si="1"/>
        <v>3.4190966266437966E-05</v>
      </c>
      <c r="G38" s="21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PHe</v>
      </c>
      <c r="H38" s="216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8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  <v>10</v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  <v>1</v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Phalaris arundinacea</v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1577</v>
      </c>
      <c r="Q38" s="221">
        <f t="shared" si="2"/>
        <v>3.4190966266437966E-05</v>
      </c>
      <c r="R38" s="222">
        <f t="shared" si="3"/>
        <v>1</v>
      </c>
      <c r="S38" s="222">
        <f t="shared" si="4"/>
        <v>10</v>
      </c>
      <c r="T38" s="222">
        <f t="shared" si="5"/>
        <v>10</v>
      </c>
      <c r="U38" s="234">
        <f t="shared" si="6"/>
        <v>1</v>
      </c>
      <c r="V38" s="223">
        <f t="shared" si="7"/>
      </c>
      <c r="W38" s="224" t="s">
        <v>55</v>
      </c>
      <c r="Y38" s="225" t="str">
        <f>IF(A38="new.cod","NEWCOD",IF(AND((Z38=""),ISTEXT(A38)),A38,IF(Z38="","",INDEX('[1]liste reference'!$A$8:$A$904,Z38))))</f>
        <v>PHAARU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634</v>
      </c>
      <c r="AA38" s="226"/>
      <c r="AB38" s="227"/>
      <c r="AC38" s="227"/>
      <c r="BB38" s="8">
        <f t="shared" si="8"/>
        <v>1</v>
      </c>
    </row>
    <row r="39" spans="1:54" ht="12.75">
      <c r="A39" s="228" t="s">
        <v>96</v>
      </c>
      <c r="B39" s="229">
        <v>0</v>
      </c>
      <c r="C39" s="230">
        <v>0.0017095483133218983</v>
      </c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1"/>
        <v>3.4190966266437966E-05</v>
      </c>
      <c r="G39" s="215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    -</v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Polygonum sp.</v>
      </c>
      <c r="L39" s="233"/>
      <c r="M39" s="233"/>
      <c r="N39" s="233"/>
      <c r="O39" s="220"/>
      <c r="P39" s="220" t="str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No</v>
      </c>
      <c r="Q39" s="221">
        <f t="shared" si="2"/>
      </c>
      <c r="R39" s="222">
        <f t="shared" si="3"/>
      </c>
      <c r="S39" s="222">
        <f t="shared" si="4"/>
        <v>0</v>
      </c>
      <c r="T39" s="222">
        <f t="shared" si="5"/>
        <v>0</v>
      </c>
      <c r="U39" s="234">
        <f t="shared" si="6"/>
        <v>0</v>
      </c>
      <c r="V39" s="223">
        <f t="shared" si="7"/>
      </c>
      <c r="W39" s="224" t="s">
        <v>55</v>
      </c>
      <c r="Y39" s="225" t="str">
        <f>IF(A39="new.cod","NEWCOD",IF(AND((Z39=""),ISTEXT(A39)),A39,IF(Z39="","",INDEX('[1]liste reference'!$A$8:$A$904,Z39))))</f>
        <v>newcod</v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 t="s">
        <v>97</v>
      </c>
      <c r="AC39" s="227"/>
      <c r="BB39" s="8">
        <f t="shared" si="8"/>
        <v>1</v>
      </c>
    </row>
    <row r="40" spans="1:54" ht="12.75">
      <c r="A40" s="228" t="s">
        <v>96</v>
      </c>
      <c r="B40" s="229">
        <v>0.06401709477179009</v>
      </c>
      <c r="C40" s="230">
        <v>0</v>
      </c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1"/>
        <v>0.06273675287635429</v>
      </c>
      <c r="G40" s="215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>    -</v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>Leptolynbia sp.</v>
      </c>
      <c r="L40" s="233"/>
      <c r="M40" s="233"/>
      <c r="N40" s="233"/>
      <c r="O40" s="220"/>
      <c r="P40" s="220" t="str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No</v>
      </c>
      <c r="Q40" s="221">
        <f t="shared" si="2"/>
      </c>
      <c r="R40" s="222">
        <f t="shared" si="3"/>
      </c>
      <c r="S40" s="222">
        <f t="shared" si="4"/>
        <v>0</v>
      </c>
      <c r="T40" s="222">
        <f t="shared" si="5"/>
        <v>0</v>
      </c>
      <c r="U40" s="234">
        <f t="shared" si="6"/>
        <v>0</v>
      </c>
      <c r="V40" s="223">
        <f t="shared" si="7"/>
      </c>
      <c r="W40" s="224" t="s">
        <v>55</v>
      </c>
      <c r="Y40" s="225" t="str">
        <f>IF(A40="new.cod","NEWCOD",IF(AND((Z40=""),ISTEXT(A40)),A40,IF(Z40="","",INDEX('[1]liste reference'!$A$8:$A$904,Z40))))</f>
        <v>newcod</v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 t="s">
        <v>98</v>
      </c>
      <c r="AC40" s="227"/>
      <c r="BB40" s="8">
        <f t="shared" si="8"/>
        <v>1</v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1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2"/>
      </c>
      <c r="R41" s="222">
        <f t="shared" si="3"/>
      </c>
      <c r="S41" s="222">
        <f t="shared" si="4"/>
        <v>0</v>
      </c>
      <c r="T41" s="222">
        <f t="shared" si="5"/>
        <v>0</v>
      </c>
      <c r="U41" s="234">
        <f t="shared" si="6"/>
        <v>0</v>
      </c>
      <c r="V41" s="223">
        <f t="shared" si="7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8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1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2"/>
      </c>
      <c r="R42" s="222">
        <f t="shared" si="3"/>
      </c>
      <c r="S42" s="222">
        <f t="shared" si="4"/>
        <v>0</v>
      </c>
      <c r="T42" s="222">
        <f t="shared" si="5"/>
        <v>0</v>
      </c>
      <c r="U42" s="234">
        <f t="shared" si="6"/>
        <v>0</v>
      </c>
      <c r="V42" s="223">
        <f t="shared" si="7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8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1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2"/>
      </c>
      <c r="R43" s="222">
        <f t="shared" si="3"/>
      </c>
      <c r="S43" s="222">
        <f t="shared" si="4"/>
        <v>0</v>
      </c>
      <c r="T43" s="222">
        <f t="shared" si="5"/>
        <v>0</v>
      </c>
      <c r="U43" s="234">
        <f t="shared" si="6"/>
        <v>0</v>
      </c>
      <c r="V43" s="223">
        <f t="shared" si="7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8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1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2"/>
      </c>
      <c r="R44" s="222">
        <f t="shared" si="3"/>
      </c>
      <c r="S44" s="222">
        <f t="shared" si="4"/>
        <v>0</v>
      </c>
      <c r="T44" s="222">
        <f t="shared" si="5"/>
        <v>0</v>
      </c>
      <c r="U44" s="234">
        <f t="shared" si="6"/>
        <v>0</v>
      </c>
      <c r="V44" s="223">
        <f t="shared" si="7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8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1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2"/>
      </c>
      <c r="R45" s="222">
        <f t="shared" si="3"/>
      </c>
      <c r="S45" s="222">
        <f t="shared" si="4"/>
        <v>0</v>
      </c>
      <c r="T45" s="222">
        <f t="shared" si="5"/>
        <v>0</v>
      </c>
      <c r="U45" s="234">
        <f t="shared" si="6"/>
        <v>0</v>
      </c>
      <c r="V45" s="223">
        <f t="shared" si="7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8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1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2"/>
      </c>
      <c r="R46" s="222">
        <f t="shared" si="3"/>
      </c>
      <c r="S46" s="222">
        <f t="shared" si="4"/>
        <v>0</v>
      </c>
      <c r="T46" s="222">
        <f t="shared" si="5"/>
        <v>0</v>
      </c>
      <c r="U46" s="234">
        <f t="shared" si="6"/>
        <v>0</v>
      </c>
      <c r="V46" s="223">
        <f t="shared" si="7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8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1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2"/>
      </c>
      <c r="R47" s="222">
        <f t="shared" si="3"/>
      </c>
      <c r="S47" s="222">
        <f t="shared" si="4"/>
        <v>0</v>
      </c>
      <c r="T47" s="222">
        <f t="shared" si="5"/>
        <v>0</v>
      </c>
      <c r="U47" s="234">
        <f t="shared" si="6"/>
        <v>0</v>
      </c>
      <c r="V47" s="223">
        <f t="shared" si="7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8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1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2"/>
      </c>
      <c r="R48" s="222">
        <f t="shared" si="3"/>
      </c>
      <c r="S48" s="222">
        <f t="shared" si="4"/>
        <v>0</v>
      </c>
      <c r="T48" s="222">
        <f t="shared" si="5"/>
        <v>0</v>
      </c>
      <c r="U48" s="234">
        <f t="shared" si="6"/>
        <v>0</v>
      </c>
      <c r="V48" s="223">
        <f t="shared" si="7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8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1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2"/>
      </c>
      <c r="R49" s="222">
        <f t="shared" si="3"/>
      </c>
      <c r="S49" s="222">
        <f t="shared" si="4"/>
        <v>0</v>
      </c>
      <c r="T49" s="222">
        <f t="shared" si="5"/>
        <v>0</v>
      </c>
      <c r="U49" s="234">
        <f t="shared" si="6"/>
        <v>0</v>
      </c>
      <c r="V49" s="223">
        <f t="shared" si="7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8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1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2"/>
      </c>
      <c r="R50" s="222">
        <f t="shared" si="3"/>
      </c>
      <c r="S50" s="222">
        <f t="shared" si="4"/>
        <v>0</v>
      </c>
      <c r="T50" s="222">
        <f t="shared" si="5"/>
        <v>0</v>
      </c>
      <c r="U50" s="234">
        <f t="shared" si="6"/>
        <v>0</v>
      </c>
      <c r="V50" s="223">
        <f t="shared" si="7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8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1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2"/>
      </c>
      <c r="R51" s="222">
        <f t="shared" si="3"/>
      </c>
      <c r="S51" s="222">
        <f t="shared" si="4"/>
        <v>0</v>
      </c>
      <c r="T51" s="222">
        <f t="shared" si="5"/>
        <v>0</v>
      </c>
      <c r="U51" s="234">
        <f t="shared" si="6"/>
        <v>0</v>
      </c>
      <c r="V51" s="223">
        <f t="shared" si="7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8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1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2"/>
      </c>
      <c r="R52" s="222">
        <f t="shared" si="3"/>
      </c>
      <c r="S52" s="222">
        <f t="shared" si="4"/>
        <v>0</v>
      </c>
      <c r="T52" s="222">
        <f t="shared" si="5"/>
        <v>0</v>
      </c>
      <c r="U52" s="234">
        <f t="shared" si="6"/>
        <v>0</v>
      </c>
      <c r="V52" s="223">
        <f t="shared" si="7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8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1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2"/>
      </c>
      <c r="R53" s="222">
        <f t="shared" si="3"/>
      </c>
      <c r="S53" s="222">
        <f t="shared" si="4"/>
        <v>0</v>
      </c>
      <c r="T53" s="222">
        <f t="shared" si="5"/>
        <v>0</v>
      </c>
      <c r="U53" s="234">
        <f t="shared" si="6"/>
        <v>0</v>
      </c>
      <c r="V53" s="223">
        <f t="shared" si="7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8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1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2"/>
      </c>
      <c r="R54" s="222">
        <f t="shared" si="3"/>
      </c>
      <c r="S54" s="222">
        <f t="shared" si="4"/>
        <v>0</v>
      </c>
      <c r="T54" s="222">
        <f t="shared" si="5"/>
        <v>0</v>
      </c>
      <c r="U54" s="234">
        <f t="shared" si="6"/>
        <v>0</v>
      </c>
      <c r="V54" s="223">
        <f t="shared" si="7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8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1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2"/>
      </c>
      <c r="R55" s="222">
        <f t="shared" si="3"/>
      </c>
      <c r="S55" s="222">
        <f t="shared" si="4"/>
        <v>0</v>
      </c>
      <c r="T55" s="222">
        <f t="shared" si="5"/>
        <v>0</v>
      </c>
      <c r="U55" s="234">
        <f t="shared" si="6"/>
        <v>0</v>
      </c>
      <c r="V55" s="223">
        <f t="shared" si="7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8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1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2"/>
      </c>
      <c r="R56" s="222">
        <f t="shared" si="3"/>
      </c>
      <c r="S56" s="222">
        <f t="shared" si="4"/>
        <v>0</v>
      </c>
      <c r="T56" s="222">
        <f t="shared" si="5"/>
        <v>0</v>
      </c>
      <c r="U56" s="234">
        <f t="shared" si="6"/>
        <v>0</v>
      </c>
      <c r="V56" s="223">
        <f t="shared" si="7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8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1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2"/>
      </c>
      <c r="R57" s="222">
        <f t="shared" si="3"/>
      </c>
      <c r="S57" s="222">
        <f t="shared" si="4"/>
        <v>0</v>
      </c>
      <c r="T57" s="222">
        <f t="shared" si="5"/>
        <v>0</v>
      </c>
      <c r="U57" s="234">
        <f t="shared" si="6"/>
        <v>0</v>
      </c>
      <c r="V57" s="223">
        <f t="shared" si="7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8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1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2"/>
      </c>
      <c r="R58" s="222">
        <f t="shared" si="3"/>
      </c>
      <c r="S58" s="222">
        <f t="shared" si="4"/>
        <v>0</v>
      </c>
      <c r="T58" s="222">
        <f t="shared" si="5"/>
        <v>0</v>
      </c>
      <c r="U58" s="234">
        <f t="shared" si="6"/>
        <v>0</v>
      </c>
      <c r="V58" s="223">
        <f t="shared" si="7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8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1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2"/>
      </c>
      <c r="R59" s="222">
        <f t="shared" si="3"/>
      </c>
      <c r="S59" s="222">
        <f t="shared" si="4"/>
        <v>0</v>
      </c>
      <c r="T59" s="222">
        <f t="shared" si="5"/>
        <v>0</v>
      </c>
      <c r="U59" s="234">
        <f t="shared" si="6"/>
        <v>0</v>
      </c>
      <c r="V59" s="223">
        <f t="shared" si="7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8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1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2"/>
      </c>
      <c r="R60" s="222">
        <f t="shared" si="3"/>
      </c>
      <c r="S60" s="222">
        <f t="shared" si="4"/>
        <v>0</v>
      </c>
      <c r="T60" s="222">
        <f t="shared" si="5"/>
        <v>0</v>
      </c>
      <c r="U60" s="234">
        <f t="shared" si="6"/>
        <v>0</v>
      </c>
      <c r="V60" s="223">
        <f t="shared" si="7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8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1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2"/>
      </c>
      <c r="R61" s="222">
        <f t="shared" si="3"/>
      </c>
      <c r="S61" s="222">
        <f t="shared" si="4"/>
        <v>0</v>
      </c>
      <c r="T61" s="222">
        <f t="shared" si="5"/>
        <v>0</v>
      </c>
      <c r="U61" s="234">
        <f t="shared" si="6"/>
        <v>0</v>
      </c>
      <c r="V61" s="223">
        <f t="shared" si="7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8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1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2"/>
      </c>
      <c r="R62" s="222">
        <f t="shared" si="3"/>
      </c>
      <c r="S62" s="222">
        <f t="shared" si="4"/>
        <v>0</v>
      </c>
      <c r="T62" s="222">
        <f t="shared" si="5"/>
        <v>0</v>
      </c>
      <c r="U62" s="234">
        <f t="shared" si="6"/>
        <v>0</v>
      </c>
      <c r="V62" s="223">
        <f t="shared" si="7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8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1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2"/>
      </c>
      <c r="R63" s="222">
        <f t="shared" si="3"/>
      </c>
      <c r="S63" s="222">
        <f t="shared" si="4"/>
        <v>0</v>
      </c>
      <c r="T63" s="222">
        <f t="shared" si="5"/>
        <v>0</v>
      </c>
      <c r="U63" s="234">
        <f t="shared" si="6"/>
        <v>0</v>
      </c>
      <c r="V63" s="223">
        <f t="shared" si="7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8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1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2"/>
      </c>
      <c r="R64" s="222">
        <f t="shared" si="3"/>
      </c>
      <c r="S64" s="222">
        <f t="shared" si="4"/>
        <v>0</v>
      </c>
      <c r="T64" s="222">
        <f t="shared" si="5"/>
        <v>0</v>
      </c>
      <c r="U64" s="234">
        <f t="shared" si="6"/>
        <v>0</v>
      </c>
      <c r="V64" s="223">
        <f t="shared" si="7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8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1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2"/>
      </c>
      <c r="R65" s="222">
        <f t="shared" si="3"/>
      </c>
      <c r="S65" s="222">
        <f t="shared" si="4"/>
        <v>0</v>
      </c>
      <c r="T65" s="222">
        <f t="shared" si="5"/>
        <v>0</v>
      </c>
      <c r="U65" s="234">
        <f t="shared" si="6"/>
        <v>0</v>
      </c>
      <c r="V65" s="223">
        <f t="shared" si="7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8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1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2"/>
      </c>
      <c r="R66" s="222">
        <f t="shared" si="3"/>
      </c>
      <c r="S66" s="222">
        <f t="shared" si="4"/>
        <v>0</v>
      </c>
      <c r="T66" s="222">
        <f t="shared" si="5"/>
        <v>0</v>
      </c>
      <c r="U66" s="234">
        <f t="shared" si="6"/>
        <v>0</v>
      </c>
      <c r="V66" s="223">
        <f t="shared" si="7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8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1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2"/>
      </c>
      <c r="R67" s="222">
        <f t="shared" si="3"/>
      </c>
      <c r="S67" s="222">
        <f t="shared" si="4"/>
        <v>0</v>
      </c>
      <c r="T67" s="222">
        <f t="shared" si="5"/>
        <v>0</v>
      </c>
      <c r="U67" s="234">
        <f t="shared" si="6"/>
        <v>0</v>
      </c>
      <c r="V67" s="223">
        <f t="shared" si="7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8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1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2"/>
      </c>
      <c r="R68" s="222">
        <f t="shared" si="3"/>
      </c>
      <c r="S68" s="222">
        <f t="shared" si="4"/>
        <v>0</v>
      </c>
      <c r="T68" s="222">
        <f t="shared" si="5"/>
        <v>0</v>
      </c>
      <c r="U68" s="234">
        <f t="shared" si="6"/>
        <v>0</v>
      </c>
      <c r="V68" s="223">
        <f t="shared" si="7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8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1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2"/>
      </c>
      <c r="R69" s="222">
        <f t="shared" si="3"/>
      </c>
      <c r="S69" s="222">
        <f t="shared" si="4"/>
        <v>0</v>
      </c>
      <c r="T69" s="222">
        <f t="shared" si="5"/>
        <v>0</v>
      </c>
      <c r="U69" s="234">
        <f t="shared" si="6"/>
        <v>0</v>
      </c>
      <c r="V69" s="223">
        <f t="shared" si="7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8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1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2"/>
      </c>
      <c r="R70" s="222">
        <f t="shared" si="3"/>
      </c>
      <c r="S70" s="222">
        <f t="shared" si="4"/>
        <v>0</v>
      </c>
      <c r="T70" s="222">
        <f t="shared" si="5"/>
        <v>0</v>
      </c>
      <c r="U70" s="234">
        <f t="shared" si="6"/>
        <v>0</v>
      </c>
      <c r="V70" s="223">
        <f t="shared" si="7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8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1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2"/>
      </c>
      <c r="R71" s="222">
        <f t="shared" si="3"/>
      </c>
      <c r="S71" s="222">
        <f t="shared" si="4"/>
        <v>0</v>
      </c>
      <c r="T71" s="222">
        <f t="shared" si="5"/>
        <v>0</v>
      </c>
      <c r="U71" s="234">
        <f t="shared" si="6"/>
        <v>0</v>
      </c>
      <c r="V71" s="223">
        <f t="shared" si="7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8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1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2"/>
      </c>
      <c r="R72" s="222">
        <f t="shared" si="3"/>
      </c>
      <c r="S72" s="222">
        <f t="shared" si="4"/>
        <v>0</v>
      </c>
      <c r="T72" s="222">
        <f t="shared" si="5"/>
        <v>0</v>
      </c>
      <c r="U72" s="234">
        <f t="shared" si="6"/>
        <v>0</v>
      </c>
      <c r="V72" s="223">
        <f t="shared" si="7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8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1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2"/>
      </c>
      <c r="R73" s="222">
        <f t="shared" si="3"/>
      </c>
      <c r="S73" s="222">
        <f t="shared" si="4"/>
        <v>0</v>
      </c>
      <c r="T73" s="222">
        <f t="shared" si="5"/>
        <v>0</v>
      </c>
      <c r="U73" s="234">
        <f t="shared" si="6"/>
        <v>0</v>
      </c>
      <c r="V73" s="223">
        <f t="shared" si="7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8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1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2"/>
      </c>
      <c r="R74" s="222">
        <f t="shared" si="3"/>
      </c>
      <c r="S74" s="222">
        <f t="shared" si="4"/>
        <v>0</v>
      </c>
      <c r="T74" s="222">
        <f t="shared" si="5"/>
        <v>0</v>
      </c>
      <c r="U74" s="234">
        <f t="shared" si="6"/>
        <v>0</v>
      </c>
      <c r="V74" s="223">
        <f t="shared" si="7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8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1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2"/>
      </c>
      <c r="R75" s="222">
        <f t="shared" si="3"/>
      </c>
      <c r="S75" s="222">
        <f t="shared" si="4"/>
        <v>0</v>
      </c>
      <c r="T75" s="222">
        <f t="shared" si="5"/>
        <v>0</v>
      </c>
      <c r="U75" s="234">
        <f t="shared" si="6"/>
        <v>0</v>
      </c>
      <c r="V75" s="223">
        <f t="shared" si="7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8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1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2"/>
      </c>
      <c r="R76" s="222">
        <f t="shared" si="3"/>
      </c>
      <c r="S76" s="222">
        <f t="shared" si="4"/>
        <v>0</v>
      </c>
      <c r="T76" s="222">
        <f t="shared" si="5"/>
        <v>0</v>
      </c>
      <c r="U76" s="234">
        <f t="shared" si="6"/>
        <v>0</v>
      </c>
      <c r="V76" s="223">
        <f t="shared" si="7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8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1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2"/>
      </c>
      <c r="R77" s="222">
        <f t="shared" si="3"/>
      </c>
      <c r="S77" s="222">
        <f t="shared" si="4"/>
        <v>0</v>
      </c>
      <c r="T77" s="222">
        <f t="shared" si="5"/>
        <v>0</v>
      </c>
      <c r="U77" s="234">
        <f t="shared" si="6"/>
        <v>0</v>
      </c>
      <c r="V77" s="223">
        <f t="shared" si="7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8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1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2"/>
      </c>
      <c r="R78" s="222">
        <f t="shared" si="3"/>
      </c>
      <c r="S78" s="222">
        <f t="shared" si="4"/>
        <v>0</v>
      </c>
      <c r="T78" s="222">
        <f t="shared" si="5"/>
        <v>0</v>
      </c>
      <c r="U78" s="234">
        <f t="shared" si="6"/>
        <v>0</v>
      </c>
      <c r="V78" s="223">
        <f t="shared" si="7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8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1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2"/>
      </c>
      <c r="R79" s="222">
        <f t="shared" si="3"/>
      </c>
      <c r="S79" s="222">
        <f t="shared" si="4"/>
        <v>0</v>
      </c>
      <c r="T79" s="222">
        <f t="shared" si="5"/>
        <v>0</v>
      </c>
      <c r="U79" s="234">
        <f t="shared" si="6"/>
        <v>0</v>
      </c>
      <c r="V79" s="223">
        <f t="shared" si="7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8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1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2"/>
      </c>
      <c r="R80" s="222">
        <f t="shared" si="3"/>
      </c>
      <c r="S80" s="222">
        <f t="shared" si="4"/>
        <v>0</v>
      </c>
      <c r="T80" s="222">
        <f t="shared" si="5"/>
        <v>0</v>
      </c>
      <c r="U80" s="234">
        <f t="shared" si="6"/>
        <v>0</v>
      </c>
      <c r="V80" s="223">
        <f t="shared" si="7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8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1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2"/>
      </c>
      <c r="R81" s="222">
        <f t="shared" si="3"/>
      </c>
      <c r="S81" s="222">
        <f t="shared" si="4"/>
        <v>0</v>
      </c>
      <c r="T81" s="222">
        <f t="shared" si="5"/>
        <v>0</v>
      </c>
      <c r="U81" s="234">
        <f t="shared" si="6"/>
        <v>0</v>
      </c>
      <c r="V81" s="223">
        <f t="shared" si="7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8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1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2"/>
      </c>
      <c r="R82" s="222">
        <f t="shared" si="3"/>
      </c>
      <c r="S82" s="222">
        <f t="shared" si="4"/>
        <v>0</v>
      </c>
      <c r="T82" s="222">
        <f t="shared" si="5"/>
        <v>0</v>
      </c>
      <c r="U82" s="234">
        <f t="shared" si="6"/>
        <v>0</v>
      </c>
      <c r="V82" s="223">
        <f t="shared" si="7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8"/>
      </c>
    </row>
    <row r="83" spans="1:30" ht="15" hidden="1">
      <c r="A83" s="259" t="s">
        <v>99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RHONE</v>
      </c>
      <c r="B84" s="265" t="str">
        <f>C3</f>
        <v>RHONE A MASSIGNIEU</v>
      </c>
      <c r="C84" s="266">
        <f>A4</f>
        <v>41522</v>
      </c>
      <c r="D84" s="267">
        <f>IF(ISERROR(SUM($T$23:$T$82)/SUM($U$23:$U$82)),"",SUM($T$23:$T$82)/SUM($U$23:$U$82))</f>
        <v>8.787878787878787</v>
      </c>
      <c r="E84" s="268">
        <f>N13</f>
        <v>18</v>
      </c>
      <c r="F84" s="265">
        <f>N14</f>
        <v>15</v>
      </c>
      <c r="G84" s="265">
        <f>N15</f>
        <v>7</v>
      </c>
      <c r="H84" s="265">
        <f>N16</f>
        <v>7</v>
      </c>
      <c r="I84" s="265">
        <f>N17</f>
        <v>1</v>
      </c>
      <c r="J84" s="269">
        <f>N8</f>
        <v>8.466666666666667</v>
      </c>
      <c r="K84" s="267">
        <f>N9</f>
        <v>3.18049611783375</v>
      </c>
      <c r="L84" s="268">
        <f>N10</f>
        <v>2</v>
      </c>
      <c r="M84" s="268">
        <f>N11</f>
        <v>13</v>
      </c>
      <c r="N84" s="267">
        <f>O8</f>
        <v>1.6</v>
      </c>
      <c r="O84" s="267">
        <f>O9</f>
        <v>0.6110100926607787</v>
      </c>
      <c r="P84" s="268">
        <f>O10</f>
        <v>1</v>
      </c>
      <c r="Q84" s="268">
        <f>O11</f>
        <v>3</v>
      </c>
      <c r="R84" s="268">
        <f>F21</f>
        <v>1.9636731161901657</v>
      </c>
      <c r="S84" s="268">
        <f>K11</f>
        <v>0</v>
      </c>
      <c r="T84" s="268">
        <f>K12</f>
        <v>5</v>
      </c>
      <c r="U84" s="268">
        <f>K13</f>
        <v>2</v>
      </c>
      <c r="V84" s="270">
        <f>K14</f>
        <v>1</v>
      </c>
      <c r="W84" s="271">
        <f>K15</f>
        <v>8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100</v>
      </c>
      <c r="R86" s="8"/>
      <c r="S86" s="223"/>
      <c r="T86" s="8"/>
      <c r="U86" s="8"/>
      <c r="V86" s="8"/>
    </row>
    <row r="87" spans="16:22" ht="12.75" hidden="1">
      <c r="P87" s="8"/>
      <c r="Q87" s="8" t="s">
        <v>101</v>
      </c>
      <c r="R87" s="8"/>
      <c r="S87" s="223">
        <f>VLOOKUP(MAX($S$23:$S$82),($S$23:$U$82),1,0)</f>
        <v>26</v>
      </c>
      <c r="T87" s="8"/>
      <c r="U87" s="8"/>
      <c r="V87" s="8"/>
    </row>
    <row r="88" spans="16:22" ht="12.75" hidden="1">
      <c r="P88" s="8"/>
      <c r="Q88" s="8" t="s">
        <v>102</v>
      </c>
      <c r="R88" s="8"/>
      <c r="S88" s="223">
        <f>VLOOKUP((S87),($S$23:$U$82),2,0)</f>
        <v>52</v>
      </c>
      <c r="T88" s="8"/>
      <c r="U88" s="8"/>
      <c r="V88" s="8"/>
    </row>
    <row r="89" spans="17:20" ht="12.75" hidden="1">
      <c r="Q89" s="8" t="s">
        <v>103</v>
      </c>
      <c r="R89" s="8"/>
      <c r="S89" s="223">
        <f>VLOOKUP((S87),($S$23:$U$82),3,0)</f>
        <v>4</v>
      </c>
      <c r="T89" s="8"/>
    </row>
    <row r="90" spans="17:20" ht="12.75">
      <c r="Q90" s="8" t="s">
        <v>104</v>
      </c>
      <c r="R90" s="8"/>
      <c r="S90" s="274">
        <f>IF(ISERROR(SUM($T$23:$T$82)/SUM($U$23:$U$82)),"",(SUM($T$23:$T$82)-S88)/(SUM($U$23:$U$82)-S89))</f>
        <v>8.206896551724139</v>
      </c>
      <c r="T90" s="8"/>
    </row>
    <row r="91" spans="17:21" ht="12.75">
      <c r="Q91" s="222" t="s">
        <v>105</v>
      </c>
      <c r="R91" s="222"/>
      <c r="S91" s="222" t="str">
        <f>INDEX('[1]liste reference'!$A$8:$A$904,$T$91)</f>
        <v>CINRIP</v>
      </c>
      <c r="T91" s="8">
        <f>IF(ISERROR(MATCH($S$93,'[1]liste reference'!$A$8:$A$904,0)),MATCH($S$93,'[1]liste reference'!$B$8:$B$904,0),(MATCH($S$93,'[1]liste reference'!$A$8:$A$904,0)))</f>
        <v>174</v>
      </c>
      <c r="U91" s="263"/>
    </row>
    <row r="92" spans="17:20" ht="12.75">
      <c r="Q92" s="8" t="s">
        <v>106</v>
      </c>
      <c r="R92" s="8"/>
      <c r="S92" s="8">
        <f>MATCH(S87,$S$23:$S$82,0)</f>
        <v>7</v>
      </c>
      <c r="T92" s="8"/>
    </row>
    <row r="93" spans="17:20" ht="12.75">
      <c r="Q93" s="222" t="s">
        <v>107</v>
      </c>
      <c r="R93" s="8"/>
      <c r="S93" s="222" t="str">
        <f>INDEX($A$23:$A$82,$S$92)</f>
        <v>CINRIP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2014-03-06T13:29:33Z</dcterms:created>
  <dcterms:modified xsi:type="dcterms:W3CDTF">2014-03-06T13:29:42Z</dcterms:modified>
  <cp:category/>
  <cp:version/>
  <cp:contentType/>
  <cp:contentStatus/>
</cp:coreProperties>
</file>