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<sst xmlns="http://schemas.openxmlformats.org/spreadsheetml/2006/main" count="217" uniqueCount="93">
  <si>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</si>
  <si>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</si>
  <si>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</si>
  <si>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</si>
  <si>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</si>
  <si>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Mandorne</t>
  </si>
  <si>
    <t>Mandorne à Oncieu</t>
  </si>
  <si>
    <t>06069650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</si>
  <si>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</si>
  <si>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</si>
  <si>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</si>
  <si>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</si>
  <si>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</si>
  <si>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</si>
  <si>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</si>
  <si>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</si>
  <si>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</si>
  <si>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</si>
  <si>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plat courant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</si>
  <si>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</si>
  <si>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</si>
  <si>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</si>
  <si>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</si>
  <si>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</si>
  <si>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</si>
  <si>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</si>
  <si>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</si>
  <si>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</si>
  <si>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</si>
  <si>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</si>
  <si>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</si>
  <si>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</si>
  <si>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</si>
  <si>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</si>
  <si>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</si>
  <si>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</si>
  <si>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</si>
  <si>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</si>
  <si>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</si>
  <si>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</si>
  <si>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</si>
  <si>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</si>
  <si>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</si>
  <si>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</si>
  <si>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</si>
  <si>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</si>
  <si>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</si>
  <si>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</si>
  <si>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</si>
  <si>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</si>
  <si>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</si>
  <si>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</si>
  <si>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</si>
  <si>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</si>
  <si>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</si>
  <si>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</si>
  <si>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</si>
  <si>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</si>
  <si>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</si>
  <si>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</si>
  <si>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</si>
  <si>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</si>
  <si>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</si>
  <si>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</si>
  <si>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</si>
  <si>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</si>
  <si>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</si>
  <si>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</si>
  <si>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</si>
  <si>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</si>
  <si>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</si>
  <si>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</si>
  <si>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</si>
  <si>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</si>
  <si>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</si>
  <si>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</si>
  <si>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</si>
  <si>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</si>
  <si>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</si>
  <si>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PHOSPX</t>
  </si>
  <si>
    <t>VAUSPX</t>
  </si>
  <si>
    <t>ANEPIN</t>
  </si>
  <si>
    <t>AMBTEN</t>
  </si>
  <si>
    <t>FISCRA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</si>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</sst>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MANDO_19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35" sqref="W3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11.833333333333334</v>
      </c>
      <c r="M5" s="52"/>
      <c r="N5" s="53" t="s">
        <v>16</v>
      </c>
      <c r="O5" s="54">
        <v>11.8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10.857142857142858</v>
      </c>
      <c r="O8" s="84">
        <f>IF(ISERROR(AVERAGE(J23:J82)),"      -",AVERAGE(J23:J82))</f>
        <v>1.5714285714285714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0.45</v>
      </c>
      <c r="C9" s="87">
        <v>0</v>
      </c>
      <c r="D9" s="88"/>
      <c r="E9" s="88"/>
      <c r="F9" s="89">
        <f>($B9*$B$7+$C9*$C$7)/100</f>
        <v>0.405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3.8703477668983046</v>
      </c>
      <c r="O9" s="84">
        <f>IF(ISERROR(STDEVP(J23:J82)),"      -",STDEVP(J23:J82))</f>
        <v>0.4948716593053935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0.02</v>
      </c>
      <c r="C12" s="120"/>
      <c r="D12" s="111"/>
      <c r="E12" s="111"/>
      <c r="F12" s="112">
        <f>($B12*$B$7+$C12*$C$7)/100</f>
        <v>0.018000000000000002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0.43</v>
      </c>
      <c r="C13" s="120"/>
      <c r="D13" s="111"/>
      <c r="E13" s="111"/>
      <c r="F13" s="112">
        <f>($B13*$B$7+$C13*$C$7)/100</f>
        <v>0.387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0.45</v>
      </c>
      <c r="C17" s="120"/>
      <c r="D17" s="111"/>
      <c r="E17" s="111"/>
      <c r="F17" s="147"/>
      <c r="G17" s="112">
        <f>($B17*$B$7+$C17*$C$7)/100</f>
        <v>0.405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0.405</v>
      </c>
      <c r="G19" s="161">
        <f>SUM(G16:G18)</f>
        <v>0.405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0.45</v>
      </c>
      <c r="C20" s="171">
        <f>SUM(C23:C82)</f>
        <v>0</v>
      </c>
      <c r="D20" s="172"/>
      <c r="E20" s="173" t="s">
        <v>53</v>
      </c>
      <c r="F20" s="174">
        <f>($B20*$B$7+$C20*$C$7)/100</f>
        <v>0.405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0.405</v>
      </c>
      <c r="C21" s="184">
        <f>C20*C7/100</f>
        <v>0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0.405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0.0009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0.0009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0.01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31" t="e">
        <f>IF(D24="",,VLOOKUP(D24,D$22:D23,1,0))</f>
        <v>#N/A</v>
      </c>
      <c r="F24" s="232">
        <f t="shared" si="0"/>
        <v>0.009000000000000001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21">
        <f t="shared" si="1"/>
        <v>0.009000000000000001</v>
      </c>
      <c r="R24" s="222">
        <f t="shared" si="2"/>
        <v>1</v>
      </c>
      <c r="S24" s="222">
        <f t="shared" si="3"/>
        <v>13</v>
      </c>
      <c r="T24" s="222">
        <f t="shared" si="4"/>
        <v>26</v>
      </c>
      <c r="U24" s="234">
        <f t="shared" si="5"/>
        <v>2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0.009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0.0081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0.0081</v>
      </c>
      <c r="R25" s="222">
        <f t="shared" si="2"/>
        <v>1</v>
      </c>
      <c r="S25" s="222">
        <f t="shared" si="3"/>
        <v>4</v>
      </c>
      <c r="T25" s="222">
        <f t="shared" si="4"/>
        <v>4</v>
      </c>
      <c r="U25" s="234">
        <f t="shared" si="5"/>
        <v>1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0.02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Aneura pinguis</v>
      </c>
      <c r="E26" s="231" t="e">
        <f>IF(D26="",,VLOOKUP(D26,D$22:D25,1,0))</f>
        <v>#N/A</v>
      </c>
      <c r="F26" s="232">
        <f t="shared" si="0"/>
        <v>0.018000000000000002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14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Aneura pinguis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10206</v>
      </c>
      <c r="Q26" s="221">
        <f t="shared" si="1"/>
        <v>0.018000000000000002</v>
      </c>
      <c r="R26" s="222">
        <f t="shared" si="2"/>
        <v>1</v>
      </c>
      <c r="S26" s="222">
        <f t="shared" si="3"/>
        <v>14</v>
      </c>
      <c r="T26" s="222">
        <f t="shared" si="4"/>
        <v>28</v>
      </c>
      <c r="U26" s="234">
        <f t="shared" si="5"/>
        <v>2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ANEPIN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91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tenax</v>
      </c>
      <c r="E27" s="231" t="e">
        <f>IF(D27="",,VLOOKUP(D27,D$22:D26,1,0))</f>
        <v>#N/A</v>
      </c>
      <c r="F27" s="232">
        <f t="shared" si="0"/>
        <v>0.09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tenax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10210</v>
      </c>
      <c r="Q27" s="221">
        <f t="shared" si="1"/>
        <v>0.09</v>
      </c>
      <c r="R27" s="222">
        <f t="shared" si="2"/>
        <v>1</v>
      </c>
      <c r="S27" s="222">
        <f t="shared" si="3"/>
        <v>15</v>
      </c>
      <c r="T27" s="222">
        <f t="shared" si="4"/>
        <v>30</v>
      </c>
      <c r="U27" s="234">
        <f t="shared" si="5"/>
        <v>2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AMBTEN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150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31" t="e">
        <f>IF(D28="",,VLOOKUP(D28,D$22:D27,1,0))</f>
        <v>#N/A</v>
      </c>
      <c r="F28" s="232">
        <f t="shared" si="0"/>
        <v>0.009000000000000001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21">
        <f t="shared" si="1"/>
        <v>0.009000000000000001</v>
      </c>
      <c r="R28" s="222">
        <f t="shared" si="2"/>
        <v>1</v>
      </c>
      <c r="S28" s="222">
        <f t="shared" si="3"/>
        <v>12</v>
      </c>
      <c r="T28" s="222">
        <f t="shared" si="4"/>
        <v>24</v>
      </c>
      <c r="U28" s="234">
        <f t="shared" si="5"/>
        <v>2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0.3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0"/>
        <v>0.27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1"/>
        <v>0.27</v>
      </c>
      <c r="R29" s="222">
        <f t="shared" si="2"/>
        <v>2</v>
      </c>
      <c r="S29" s="222">
        <f t="shared" si="3"/>
        <v>24</v>
      </c>
      <c r="T29" s="222">
        <f t="shared" si="4"/>
        <v>24</v>
      </c>
      <c r="U29" s="234">
        <f t="shared" si="5"/>
        <v>2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54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54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Mandorne</v>
      </c>
      <c r="B84" s="265" t="str">
        <f>C3</f>
        <v>Mandorne à Oncieu</v>
      </c>
      <c r="C84" s="266">
        <f>A4</f>
        <v>41809</v>
      </c>
      <c r="D84" s="267">
        <f>IF(ISERROR(SUM($T$23:$T$82)/SUM($U$23:$U$82)),"",SUM($T$23:$T$82)/SUM($U$23:$U$82))</f>
        <v>11.833333333333334</v>
      </c>
      <c r="E84" s="268">
        <f>N13</f>
        <v>7</v>
      </c>
      <c r="F84" s="265">
        <f>N14</f>
        <v>7</v>
      </c>
      <c r="G84" s="265">
        <f>N15</f>
        <v>3</v>
      </c>
      <c r="H84" s="265">
        <f>N16</f>
        <v>4</v>
      </c>
      <c r="I84" s="265">
        <f>N17</f>
        <v>0</v>
      </c>
      <c r="J84" s="269">
        <f>N8</f>
        <v>10.857142857142858</v>
      </c>
      <c r="K84" s="267">
        <f>N9</f>
        <v>3.8703477668983046</v>
      </c>
      <c r="L84" s="268">
        <f>N10</f>
        <v>4</v>
      </c>
      <c r="M84" s="268">
        <f>N11</f>
        <v>15</v>
      </c>
      <c r="N84" s="267">
        <f>O8</f>
        <v>1.5714285714285714</v>
      </c>
      <c r="O84" s="267">
        <f>O9</f>
        <v>0.4948716593053935</v>
      </c>
      <c r="P84" s="268">
        <f>O10</f>
        <v>1</v>
      </c>
      <c r="Q84" s="268">
        <f>O11</f>
        <v>2</v>
      </c>
      <c r="R84" s="268">
        <f>F21</f>
        <v>0.405</v>
      </c>
      <c r="S84" s="268">
        <f>K11</f>
        <v>0</v>
      </c>
      <c r="T84" s="268">
        <f>K12</f>
        <v>3</v>
      </c>
      <c r="U84" s="268">
        <f>K13</f>
        <v>4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85</v>
      </c>
      <c r="R86" s="8"/>
      <c r="S86" s="223"/>
      <c r="T86" s="8"/>
      <c r="U86" s="8"/>
      <c r="V86" s="8"/>
    </row>
    <row r="87" spans="16:22" ht="12.75" hidden="1">
      <c r="P87" s="8"/>
      <c r="Q87" s="8" t="s">
        <v>86</v>
      </c>
      <c r="R87" s="8"/>
      <c r="S87" s="22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87</v>
      </c>
      <c r="R88" s="8"/>
      <c r="S88" s="223">
        <f>VLOOKUP((S87),($S$23:$U$82),2,0)</f>
        <v>24</v>
      </c>
      <c r="T88" s="8"/>
      <c r="U88" s="8"/>
      <c r="V88" s="8"/>
    </row>
    <row r="89" spans="17:20" ht="12.75" hidden="1">
      <c r="Q89" s="8" t="s">
        <v>88</v>
      </c>
      <c r="R89" s="8"/>
      <c r="S89" s="223">
        <f>VLOOKUP((S87),($S$23:$U$82),3,0)</f>
        <v>2</v>
      </c>
      <c r="T89" s="8"/>
    </row>
    <row r="90" spans="17:20" ht="12.75">
      <c r="Q90" s="8" t="s">
        <v>89</v>
      </c>
      <c r="R90" s="8"/>
      <c r="S90" s="274">
        <f>IF(ISERROR(SUM($T$23:$T$82)/SUM($U$23:$U$82)),"",(SUM($T$23:$T$82)-S88)/(SUM($U$23:$U$82)-S89))</f>
        <v>11.8</v>
      </c>
      <c r="T90" s="8"/>
    </row>
    <row r="91" spans="17:21" ht="12.75">
      <c r="Q91" s="222" t="s">
        <v>90</v>
      </c>
      <c r="R91" s="222"/>
      <c r="S91" s="22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63"/>
    </row>
    <row r="92" spans="17:20" ht="12.75">
      <c r="Q92" s="8" t="s">
        <v>91</v>
      </c>
      <c r="R92" s="8"/>
      <c r="S92" s="8">
        <f>MATCH(S87,$S$23:$S$82,0)</f>
        <v>7</v>
      </c>
      <c r="T92" s="8"/>
    </row>
    <row r="93" spans="17:20" ht="12.75">
      <c r="Q93" s="222" t="s">
        <v>92</v>
      </c>
      <c r="R93" s="8"/>
      <c r="S93" s="222" t="str">
        <f>INDEX($A$23:$A$82,$S$92)</f>
        <v>RHYRIP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2014-12-19T14:21:11Z</dcterms:created>
  <dcterms:modified xsi:type="dcterms:W3CDTF">2014-12-19T14:21:16Z</dcterms:modified>
  <cp:category/>
  <cp:version/>
  <cp:contentType/>
  <cp:contentStatus/>
</cp:coreProperties>
</file>