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<sst xmlns="http://schemas.openxmlformats.org/spreadsheetml/2006/main" count="217" uniqueCount="102">
  <si>
    <t>Relevés floristiques aquatiques - IBMR</t>
  </si>
  <si>
    <t>modèle Irstea-GIS</t>
  </si>
  <si>
    <t>SAGE</t>
  </si>
  <si>
    <t>C. BERNARD P. BELLY</t>
  </si>
  <si>
    <t>FIER</t>
  </si>
  <si>
    <t>FIER A POISY</t>
  </si>
  <si>
    <t>06070100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</si>
  <si>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</si>
  <si>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</si>
  <si>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</si>
  <si>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</si>
  <si>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</si>
  <si>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</si>
  <si>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</si>
  <si>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</si>
  <si>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</si>
  <si>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</si>
  <si>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</si>
  <si>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</si>
  <si>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</si>
  <si>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</si>
  <si>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</si>
  <si>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</si>
  <si>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</si>
  <si>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</si>
  <si>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</si>
  <si>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</si>
  <si>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</si>
  <si>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</si>
  <si>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</si>
  <si>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</si>
  <si>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</si>
  <si>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</si>
  <si>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</si>
  <si>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</si>
  <si>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</si>
  <si>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</si>
  <si>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</si>
  <si>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</si>
  <si>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</si>
  <si>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</si>
  <si>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</si>
  <si>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</si>
  <si>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</si>
  <si>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</si>
  <si>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</si>
  <si>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</si>
  <si>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</si>
  <si>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</si>
  <si>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</si>
  <si>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</si>
  <si>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</si>
  <si>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</si>
  <si>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</si>
  <si>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</si>
  <si>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</si>
  <si>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</si>
  <si>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</si>
  <si>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</si>
  <si>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</si>
  <si>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</si>
  <si>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</si>
  <si>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</si>
  <si>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</si>
  <si>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</si>
  <si>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</si>
  <si>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</si>
  <si>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</si>
  <si>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</si>
  <si>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</si>
  <si>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</si>
  <si>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</si>
  <si>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</si>
  <si>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</si>
  <si>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</si>
  <si>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</si>
  <si>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</si>
  <si>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</si>
  <si>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</si>
  <si>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</si>
  <si>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</si>
  <si>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</si>
  <si>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OEDSPX</t>
  </si>
  <si>
    <t>TETSPX</t>
  </si>
  <si>
    <t>VAUSPX</t>
  </si>
  <si>
    <t>CINRIP</t>
  </si>
  <si>
    <t>FISCRA</t>
  </si>
  <si>
    <t>HYAFLU</t>
  </si>
  <si>
    <t>HYATEN</t>
  </si>
  <si>
    <t>HYGLUR</t>
  </si>
  <si>
    <t>LEORIP</t>
  </si>
  <si>
    <t>RHYRIP</t>
  </si>
  <si>
    <t>EQUFLU</t>
  </si>
  <si>
    <t>PHAARU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</si>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</sst>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Segoe UI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4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IEPOI_2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38" sqref="A38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11.766666666666667</v>
      </c>
      <c r="N5" s="50"/>
      <c r="O5" s="51" t="s">
        <v>16</v>
      </c>
      <c r="P5" s="52">
        <v>11.26923076923077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10.857142857142858</v>
      </c>
      <c r="P8" s="85">
        <f>IF(ISERROR(AVERAGE(K23:K82)),"  ",AVERAGE(K23:K82))</f>
        <v>1.7142857142857142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1.21</v>
      </c>
      <c r="C9" s="88">
        <v>0.33</v>
      </c>
      <c r="D9" s="89"/>
      <c r="E9" s="89"/>
      <c r="F9" s="90">
        <f>($B9*$B$7+$C9*$C$7)/100</f>
        <v>1.1660000000000001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4.137928102274354</v>
      </c>
      <c r="P9" s="85">
        <f>IF(ISERROR(STDEVP(K23:K82)),"  ",STDEVP(K23:K82))</f>
        <v>0.5890150893739515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0.17</v>
      </c>
      <c r="C12" s="114">
        <v>0.1</v>
      </c>
      <c r="D12" s="89"/>
      <c r="E12" s="89"/>
      <c r="F12" s="106">
        <f>($B12*$B$7+$C12*$C$7)/100</f>
        <v>0.1665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1.03</v>
      </c>
      <c r="C13" s="114">
        <v>0.21</v>
      </c>
      <c r="D13" s="89"/>
      <c r="E13" s="89"/>
      <c r="F13" s="106">
        <f>($B13*$B$7+$C13*$C$7)/100</f>
        <v>0.9890000000000001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8</v>
      </c>
      <c r="M13" s="111"/>
      <c r="N13" s="120" t="s">
        <v>41</v>
      </c>
      <c r="O13" s="121">
        <f>COUNTIF(F23:F82,"&gt;0")</f>
        <v>14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14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0.01</v>
      </c>
      <c r="C15" s="128">
        <v>0.02</v>
      </c>
      <c r="D15" s="89"/>
      <c r="E15" s="89"/>
      <c r="F15" s="106">
        <f>($B15*$B$7+$C15*$C$7)/100</f>
        <v>0.0105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47</v>
      </c>
      <c r="O15" s="121">
        <f>COUNTIF(K23:K82,"=1")</f>
        <v>5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8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1.2</v>
      </c>
      <c r="C17" s="114">
        <v>0.31</v>
      </c>
      <c r="D17" s="89"/>
      <c r="E17" s="89"/>
      <c r="F17" s="133"/>
      <c r="G17" s="134">
        <f>($B17*$B$7+$C17*$C$7)/100</f>
        <v>1.1555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0.01</v>
      </c>
      <c r="C18" s="143">
        <v>0.02</v>
      </c>
      <c r="D18" s="89"/>
      <c r="E18" s="144" t="s">
        <v>54</v>
      </c>
      <c r="F18" s="133"/>
      <c r="G18" s="134">
        <f>($B18*$B$7+$C18*$C$7)/100</f>
        <v>0.0105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1.1660000000000001</v>
      </c>
      <c r="G19" s="157">
        <f>SUM(G16:G18)</f>
        <v>1.166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1.21</v>
      </c>
      <c r="C20" s="167">
        <f>SUM(C23:C62)</f>
        <v>0.33000000000000007</v>
      </c>
      <c r="D20" s="168"/>
      <c r="E20" s="169" t="s">
        <v>54</v>
      </c>
      <c r="F20" s="170">
        <f>($B20*$B$7+$C20*$C$7)/100</f>
        <v>1.1660000000000001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1.1495</v>
      </c>
      <c r="C21" s="178">
        <f>C20*C7/100</f>
        <v>0.016500000000000004</v>
      </c>
      <c r="D21" s="179" t="s">
        <v>58</v>
      </c>
      <c r="E21" s="180"/>
      <c r="F21" s="181">
        <f>B21+C21</f>
        <v>1.166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0.1</v>
      </c>
      <c r="C23" s="208">
        <v>0.10000000000000002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0.1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Oedogonium sp.</v>
      </c>
      <c r="E24" s="228" t="e">
        <f>IF(D24="",,VLOOKUP(D24,D$22:D23,1,0))</f>
        <v>#N/A</v>
      </c>
      <c r="F24" s="229">
        <f t="shared" si="0"/>
        <v>0.009500000000000001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Oedogonium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1134</v>
      </c>
      <c r="R24" s="219">
        <f t="shared" si="2"/>
        <v>0.009500000000000001</v>
      </c>
      <c r="S24" s="220">
        <f t="shared" si="3"/>
        <v>1</v>
      </c>
      <c r="T24" s="220">
        <f t="shared" si="4"/>
        <v>6</v>
      </c>
      <c r="U24" s="220">
        <f t="shared" si="5"/>
        <v>12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OEDSPX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85</v>
      </c>
    </row>
    <row r="25" spans="1:26" ht="12.75">
      <c r="A25" s="224" t="s">
        <v>83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Tetraspora sp.</v>
      </c>
      <c r="E25" s="228" t="e">
        <f>IF(D25="",,VLOOKUP(D25,D$22:D24,1,0))</f>
        <v>#N/A</v>
      </c>
      <c r="F25" s="229">
        <f t="shared" si="0"/>
        <v>0.009500000000000001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12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Tetraspora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1138</v>
      </c>
      <c r="R25" s="219">
        <f t="shared" si="2"/>
        <v>0.009500000000000001</v>
      </c>
      <c r="S25" s="220">
        <f t="shared" si="3"/>
        <v>1</v>
      </c>
      <c r="T25" s="220">
        <f t="shared" si="4"/>
        <v>12</v>
      </c>
      <c r="U25" s="220">
        <f t="shared" si="5"/>
        <v>12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TETSPX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107</v>
      </c>
    </row>
    <row r="26" spans="1:26" ht="12.75">
      <c r="A26" s="224" t="s">
        <v>84</v>
      </c>
      <c r="B26" s="225">
        <v>0.05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0.0475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0.0475</v>
      </c>
      <c r="S26" s="220">
        <f t="shared" si="3"/>
        <v>1</v>
      </c>
      <c r="T26" s="220">
        <f t="shared" si="4"/>
        <v>4</v>
      </c>
      <c r="U26" s="220">
        <f t="shared" si="5"/>
        <v>4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16</v>
      </c>
      <c r="B27" s="225">
        <v>0.2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Cinclidotus aquaticus</v>
      </c>
      <c r="E27" s="228" t="e">
        <f>IF(D27="",,VLOOKUP(D27,D$22:D26,1,0))</f>
        <v>#N/A</v>
      </c>
      <c r="F27" s="229">
        <f t="shared" si="0"/>
        <v>0.1905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Cinclidotus aquaticus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1318</v>
      </c>
      <c r="R27" s="219">
        <f t="shared" si="2"/>
        <v>0.1905</v>
      </c>
      <c r="S27" s="220">
        <f t="shared" si="3"/>
        <v>2</v>
      </c>
      <c r="T27" s="220">
        <f t="shared" si="4"/>
        <v>30</v>
      </c>
      <c r="U27" s="220">
        <f t="shared" si="5"/>
        <v>60</v>
      </c>
      <c r="V27" s="236">
        <f t="shared" si="6"/>
        <v>4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CINAQU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221</v>
      </c>
    </row>
    <row r="28" spans="1:26" ht="12.75">
      <c r="A28" s="224" t="s">
        <v>85</v>
      </c>
      <c r="B28" s="225">
        <v>0.6</v>
      </c>
      <c r="C28" s="226">
        <v>0.10000000000000002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Cinclidotus riparius</v>
      </c>
      <c r="E28" s="228" t="e">
        <f>IF(D28="",,VLOOKUP(D28,D$22:D27,1,0))</f>
        <v>#N/A</v>
      </c>
      <c r="F28" s="229">
        <f t="shared" si="0"/>
        <v>0.575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Cinclidotus riparius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1321</v>
      </c>
      <c r="R28" s="219">
        <f t="shared" si="2"/>
        <v>0.575</v>
      </c>
      <c r="S28" s="220">
        <f t="shared" si="3"/>
        <v>2</v>
      </c>
      <c r="T28" s="220">
        <f t="shared" si="4"/>
        <v>26</v>
      </c>
      <c r="U28" s="220">
        <f t="shared" si="5"/>
        <v>52</v>
      </c>
      <c r="V28" s="236">
        <f t="shared" si="6"/>
        <v>4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CINRIP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224</v>
      </c>
    </row>
    <row r="29" spans="1:26" ht="12.75">
      <c r="A29" s="224" t="s">
        <v>86</v>
      </c>
      <c r="B29" s="225">
        <v>0.01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Fissidens crassipes</v>
      </c>
      <c r="E29" s="228" t="e">
        <f>IF(D29="",,VLOOKUP(D29,D$22:D28,1,0))</f>
        <v>#N/A</v>
      </c>
      <c r="F29" s="229">
        <f t="shared" si="0"/>
        <v>0.01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12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Fissidens crassipes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1294</v>
      </c>
      <c r="R29" s="219">
        <f t="shared" si="2"/>
        <v>0.010000000000000002</v>
      </c>
      <c r="S29" s="220">
        <f t="shared" si="3"/>
        <v>1</v>
      </c>
      <c r="T29" s="220">
        <f t="shared" si="4"/>
        <v>12</v>
      </c>
      <c r="U29" s="220">
        <f t="shared" si="5"/>
        <v>24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FISCRA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255</v>
      </c>
    </row>
    <row r="30" spans="1:26" ht="12.75">
      <c r="A30" s="224" t="s">
        <v>87</v>
      </c>
      <c r="B30" s="225">
        <v>0.01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Hygroamblystegium fluviatile </v>
      </c>
      <c r="E30" s="228" t="e">
        <f>IF(D30="",,VLOOKUP(D30,D$22:D29,1,0))</f>
        <v>#N/A</v>
      </c>
      <c r="F30" s="229">
        <f t="shared" si="0"/>
        <v>0.009500000000000001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11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Hygroamblystegium fluviatile 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1237</v>
      </c>
      <c r="R30" s="219">
        <f t="shared" si="2"/>
        <v>0.009500000000000001</v>
      </c>
      <c r="S30" s="220">
        <f t="shared" si="3"/>
        <v>1</v>
      </c>
      <c r="T30" s="220">
        <f t="shared" si="4"/>
        <v>11</v>
      </c>
      <c r="U30" s="220">
        <f t="shared" si="5"/>
        <v>22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HYAFLU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281</v>
      </c>
    </row>
    <row r="31" spans="1:26" ht="12.75">
      <c r="A31" s="224" t="s">
        <v>88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Hygroamblystegium tenax</v>
      </c>
      <c r="E31" s="228" t="e">
        <f>IF(D31="",,VLOOKUP(D31,D$22:D30,1,0))</f>
        <v>#N/A</v>
      </c>
      <c r="F31" s="229">
        <f t="shared" si="0"/>
        <v>0.0005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15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Hygroamblystegium tenax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31552</v>
      </c>
      <c r="R31" s="219">
        <f t="shared" si="2"/>
        <v>0.0005</v>
      </c>
      <c r="S31" s="220">
        <f t="shared" si="3"/>
        <v>1</v>
      </c>
      <c r="T31" s="220">
        <f t="shared" si="4"/>
        <v>15</v>
      </c>
      <c r="U31" s="220">
        <f t="shared" si="5"/>
        <v>30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HYATEN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283</v>
      </c>
    </row>
    <row r="32" spans="1:26" ht="12.75">
      <c r="A32" s="224" t="s">
        <v>89</v>
      </c>
      <c r="B32" s="225">
        <v>0.01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Hygrohypnum luridum</v>
      </c>
      <c r="E32" s="228" t="e">
        <f>IF(D32="",,VLOOKUP(D32,D$22:D31,1,0))</f>
        <v>#N/A</v>
      </c>
      <c r="F32" s="229">
        <f t="shared" si="0"/>
        <v>0.009500000000000001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19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3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Hygrohypnum luridum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1240</v>
      </c>
      <c r="R32" s="219">
        <f t="shared" si="2"/>
        <v>0.009500000000000001</v>
      </c>
      <c r="S32" s="220">
        <f t="shared" si="3"/>
        <v>1</v>
      </c>
      <c r="T32" s="220">
        <f t="shared" si="4"/>
        <v>19</v>
      </c>
      <c r="U32" s="220">
        <f t="shared" si="5"/>
        <v>57</v>
      </c>
      <c r="V32" s="236">
        <f t="shared" si="6"/>
        <v>3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HYGLUR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287</v>
      </c>
    </row>
    <row r="33" spans="1:26" ht="12.75">
      <c r="A33" s="224" t="s">
        <v>90</v>
      </c>
      <c r="B33" s="225">
        <v>0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Leptodictyum riparium </v>
      </c>
      <c r="E33" s="228" t="e">
        <f>IF(D33="",,VLOOKUP(D33,D$22:D32,1,0))</f>
        <v>#N/A</v>
      </c>
      <c r="F33" s="229">
        <f t="shared" si="0"/>
        <v>0.0005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5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Leptodictyum riparium 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1244</v>
      </c>
      <c r="R33" s="219">
        <f t="shared" si="2"/>
        <v>0.0005</v>
      </c>
      <c r="S33" s="220">
        <f t="shared" si="3"/>
        <v>1</v>
      </c>
      <c r="T33" s="220">
        <f t="shared" si="4"/>
        <v>5</v>
      </c>
      <c r="U33" s="220">
        <f t="shared" si="5"/>
        <v>10</v>
      </c>
      <c r="V33" s="236">
        <f t="shared" si="6"/>
        <v>2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LEORIP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298</v>
      </c>
    </row>
    <row r="34" spans="1:26" ht="12.75">
      <c r="A34" s="224" t="s">
        <v>91</v>
      </c>
      <c r="B34" s="225">
        <v>0.2</v>
      </c>
      <c r="C34" s="226">
        <v>0.07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Rhynchostegium riparioides</v>
      </c>
      <c r="E34" s="228" t="e">
        <f>IF(D34="",,VLOOKUP(D34,D$22:D33,1,0))</f>
        <v>#N/A</v>
      </c>
      <c r="F34" s="229">
        <f t="shared" si="0"/>
        <v>0.1935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12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Rhynchostegium riparioides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31691</v>
      </c>
      <c r="R34" s="219">
        <f t="shared" si="2"/>
        <v>0.1935</v>
      </c>
      <c r="S34" s="220">
        <f t="shared" si="3"/>
        <v>2</v>
      </c>
      <c r="T34" s="220">
        <f t="shared" si="4"/>
        <v>24</v>
      </c>
      <c r="U34" s="220">
        <f t="shared" si="5"/>
        <v>24</v>
      </c>
      <c r="V34" s="236">
        <f t="shared" si="6"/>
        <v>2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RHYRIP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345</v>
      </c>
    </row>
    <row r="35" spans="1:26" ht="12.75">
      <c r="A35" s="224" t="s">
        <v>92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Equisetum fluviatile</v>
      </c>
      <c r="E35" s="228" t="e">
        <f>IF(D35="",,VLOOKUP(D35,D$22:D34,1,0))</f>
        <v>#N/A</v>
      </c>
      <c r="F35" s="229">
        <f t="shared" si="0"/>
        <v>0.0005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PTE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6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12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Equisetum fluviatile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1385</v>
      </c>
      <c r="R35" s="219">
        <f t="shared" si="2"/>
        <v>0.0005</v>
      </c>
      <c r="S35" s="220">
        <f t="shared" si="3"/>
        <v>1</v>
      </c>
      <c r="T35" s="220">
        <f t="shared" si="4"/>
        <v>12</v>
      </c>
      <c r="U35" s="220">
        <f t="shared" si="5"/>
        <v>24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EQUFLU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386</v>
      </c>
    </row>
    <row r="36" spans="1:26" ht="12.75">
      <c r="A36" s="224" t="s">
        <v>93</v>
      </c>
      <c r="B36" s="225">
        <v>0.01</v>
      </c>
      <c r="C36" s="226">
        <v>0.01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Phalaris arundinacea</v>
      </c>
      <c r="E36" s="228" t="e">
        <f>IF(D36="",,VLOOKUP(D36,D$22:D35,1,0))</f>
        <v>#N/A</v>
      </c>
      <c r="F36" s="229">
        <f t="shared" si="0"/>
        <v>0.01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PHe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8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10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1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Phalaris arundinacea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1577</v>
      </c>
      <c r="R36" s="219">
        <f t="shared" si="2"/>
        <v>0.010000000000000002</v>
      </c>
      <c r="S36" s="220">
        <f t="shared" si="3"/>
        <v>1</v>
      </c>
      <c r="T36" s="220">
        <f t="shared" si="4"/>
        <v>10</v>
      </c>
      <c r="U36" s="220">
        <f t="shared" si="5"/>
        <v>10</v>
      </c>
      <c r="V36" s="236">
        <f t="shared" si="6"/>
        <v>1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PHAARU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707</v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1.1659999999999997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30</v>
      </c>
      <c r="W83" s="220"/>
      <c r="X83" s="258"/>
      <c r="Y83" s="258"/>
      <c r="Z83" s="259"/>
    </row>
    <row r="84" spans="1:26" ht="12.75" hidden="1">
      <c r="A84" s="253" t="str">
        <f>A3</f>
        <v>FIER</v>
      </c>
      <c r="B84" s="187" t="str">
        <f>C3</f>
        <v>FIER A POISY</v>
      </c>
      <c r="C84" s="260" t="str">
        <f>A4</f>
        <v>(Date)</v>
      </c>
      <c r="D84" s="261">
        <f>IF(OR(ISERROR(SUM($U$23:$U$82)/SUM($V$23:$V$82)),F7&lt;&gt;100),-1,SUM($U$23:$U$82)/SUM($V$23:$V$82))</f>
        <v>11.766666666666667</v>
      </c>
      <c r="E84" s="262">
        <f>O13</f>
        <v>14</v>
      </c>
      <c r="F84" s="187">
        <f>O14</f>
        <v>14</v>
      </c>
      <c r="G84" s="187">
        <f>O15</f>
        <v>5</v>
      </c>
      <c r="H84" s="187">
        <f>O16</f>
        <v>8</v>
      </c>
      <c r="I84" s="187">
        <f>O17</f>
        <v>1</v>
      </c>
      <c r="J84" s="263">
        <f>O8</f>
        <v>10.857142857142858</v>
      </c>
      <c r="K84" s="264">
        <f>O9</f>
        <v>4.137928102274354</v>
      </c>
      <c r="L84" s="265">
        <f>O10</f>
        <v>4</v>
      </c>
      <c r="M84" s="265">
        <f>O11</f>
        <v>19</v>
      </c>
      <c r="N84" s="264">
        <f>P8</f>
        <v>1.7142857142857142</v>
      </c>
      <c r="O84" s="264">
        <f>P9</f>
        <v>0.5890150893739515</v>
      </c>
      <c r="P84" s="265">
        <f>P10</f>
        <v>1</v>
      </c>
      <c r="Q84" s="265">
        <f>P11</f>
        <v>3</v>
      </c>
      <c r="R84" s="265">
        <f>F21</f>
        <v>1.166</v>
      </c>
      <c r="S84" s="265">
        <f>L11</f>
        <v>0</v>
      </c>
      <c r="T84" s="265">
        <f>L12</f>
        <v>4</v>
      </c>
      <c r="U84" s="265">
        <f>L13</f>
        <v>8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95</v>
      </c>
      <c r="S87" s="5"/>
      <c r="T87" s="272">
        <f>VLOOKUP($T$91,($A$23:$U$82),20,FALSE)</f>
        <v>30</v>
      </c>
      <c r="U87" s="5"/>
      <c r="V87" s="5"/>
    </row>
    <row r="88" spans="3:22" ht="12.75" hidden="1">
      <c r="C88" s="269"/>
      <c r="D88" s="269"/>
      <c r="E88" s="269"/>
      <c r="R88" s="5" t="s">
        <v>96</v>
      </c>
      <c r="S88" s="5"/>
      <c r="T88" s="272">
        <f>VLOOKUP($T$91,($A$23:$U$82),21,FALSE)</f>
        <v>60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97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98</v>
      </c>
      <c r="S90" s="5" t="s">
        <v>10</v>
      </c>
      <c r="T90" s="273">
        <f>IF(OR(ISERROR(SUM($U$23:$U$82)/SUM($V$23:$V$82)),F7&lt;&gt;100),-1,(SUM($U$23:$U$82)-T88)/(SUM($V$23:$V$82)-T89))</f>
        <v>11.26923076923077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99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100</v>
      </c>
      <c r="S92" s="5"/>
      <c r="T92" s="5">
        <f>MATCH(T89,$V$23:$V$82,0)</f>
        <v>5</v>
      </c>
      <c r="U92" s="5"/>
    </row>
    <row r="93" spans="3:21" ht="12.75" hidden="1">
      <c r="C93" s="269"/>
      <c r="D93" s="269"/>
      <c r="E93" s="269"/>
      <c r="R93" s="220" t="s">
        <v>101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2016-04-27T09:50:52Z</dcterms:created>
  <dcterms:modified xsi:type="dcterms:W3CDTF">2016-04-27T09:50:56Z</dcterms:modified>
  <cp:category/>
  <cp:version/>
  <cp:contentType/>
  <cp:contentStatus/>
</cp:coreProperties>
</file>