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80" windowHeight="705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<sst xmlns="http://schemas.openxmlformats.org/spreadsheetml/2006/main" count="211" uniqueCount="101">
  <si>
    <t>Relevés floristiques aquatiques - IBMR</t>
  </si>
  <si>
    <t>Formulaire modèle GIS Macrophytes v_2.6 - février 2012</t>
  </si>
  <si>
    <t>SAGE</t>
  </si>
  <si>
    <t>L. BOURGOIN L. ISEBE</t>
  </si>
  <si>
    <t>conforme AFNOR T90-395 oct. 2003</t>
  </si>
  <si>
    <t>Cheran</t>
  </si>
  <si>
    <t>Cheran a Jarsy</t>
  </si>
  <si>
    <t>06070400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</si>
  <si>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</si>
  <si>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</si>
  <si>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</si>
  <si>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</si>
  <si>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</si>
  <si>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</si>
  <si>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</si>
  <si>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</si>
  <si>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</si>
  <si>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</si>
  <si>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</si>
  <si>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</si>
  <si>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</si>
  <si>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</si>
  <si>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</si>
  <si>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</si>
  <si>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</si>
  <si>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</si>
  <si>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</si>
  <si>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</si>
  <si>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</si>
  <si>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</si>
  <si>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</si>
  <si>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</si>
  <si>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</si>
  <si>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</si>
  <si>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</si>
  <si>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</si>
  <si>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</si>
  <si>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</si>
  <si>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</si>
  <si>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</si>
  <si>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</si>
  <si>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</si>
  <si>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</si>
  <si>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</si>
  <si>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</si>
  <si>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</si>
  <si>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</si>
  <si>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</si>
  <si>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</si>
  <si>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</si>
  <si>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</si>
  <si>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</si>
  <si>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</si>
  <si>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</si>
  <si>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</si>
  <si>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</si>
  <si>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</si>
  <si>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</si>
  <si>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</si>
  <si>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</si>
  <si>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</si>
  <si>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</si>
  <si>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</si>
  <si>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</si>
  <si>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</si>
  <si>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</si>
  <si>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</si>
  <si>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</si>
  <si>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</si>
  <si>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</si>
  <si>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</si>
  <si>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</si>
  <si>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</si>
  <si>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</si>
  <si>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</si>
  <si>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</si>
  <si>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</si>
  <si>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</si>
  <si>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</si>
  <si>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</si>
  <si>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</si>
  <si>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HYUSPX</t>
  </si>
  <si>
    <t>LEASPX</t>
  </si>
  <si>
    <t>MICSPX</t>
  </si>
  <si>
    <t>PHOSPX</t>
  </si>
  <si>
    <t>AMBRIP</t>
  </si>
  <si>
    <t>BRASPX</t>
  </si>
  <si>
    <t>CINAQU</t>
  </si>
  <si>
    <t>HYGLUR</t>
  </si>
  <si>
    <t>RHYSPX</t>
  </si>
  <si>
    <t>newcod</t>
  </si>
  <si>
    <t>Rivularia sp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</si>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</sst>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41" borderId="32" xfId="0" applyNumberFormat="1" applyFont="1" applyFill="1" applyBorder="1" applyAlignment="1" applyProtection="1">
      <alignment horizontal="right" vertical="top"/>
      <protection hidden="1"/>
    </xf>
    <xf numFmtId="2" fontId="12" fillId="41" borderId="33" xfId="0" applyNumberFormat="1" applyFont="1" applyFill="1" applyBorder="1" applyAlignment="1" applyProtection="1">
      <alignment horizontal="left" vertical="top"/>
      <protection hidden="1"/>
    </xf>
    <xf numFmtId="2" fontId="13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2" borderId="46" xfId="0" applyNumberFormat="1" applyFont="1" applyFill="1" applyBorder="1" applyAlignment="1" applyProtection="1">
      <alignment horizontal="center"/>
      <protection locked="0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2" borderId="50" xfId="0" applyNumberFormat="1" applyFont="1" applyFill="1" applyBorder="1" applyAlignment="1" applyProtection="1">
      <alignment horizontal="center"/>
      <protection locked="0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2" borderId="56" xfId="0" applyNumberFormat="1" applyFont="1" applyFill="1" applyBorder="1" applyAlignment="1" applyProtection="1">
      <alignment horizontal="center"/>
      <protection locked="0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2" borderId="60" xfId="0" applyNumberFormat="1" applyFont="1" applyFill="1" applyBorder="1" applyAlignment="1" applyProtection="1">
      <alignment horizontal="center"/>
      <protection locked="0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27" fillId="39" borderId="21" xfId="0" applyFont="1" applyFill="1" applyBorder="1" applyAlignment="1" applyProtection="1">
      <alignment horizontal="center"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7" xfId="0" applyNumberFormat="1" applyFont="1" applyFill="1" applyBorder="1" applyAlignment="1" applyProtection="1">
      <alignment/>
      <protection hidden="1"/>
    </xf>
    <xf numFmtId="0" fontId="23" fillId="38" borderId="67" xfId="0" applyNumberFormat="1" applyFont="1" applyFill="1" applyBorder="1" applyAlignment="1" applyProtection="1">
      <alignment/>
      <protection hidden="1"/>
    </xf>
    <xf numFmtId="1" fontId="28" fillId="34" borderId="68" xfId="0" applyNumberFormat="1" applyFont="1" applyFill="1" applyBorder="1" applyAlignment="1" applyProtection="1">
      <alignment horizontal="center"/>
      <protection hidden="1"/>
    </xf>
    <xf numFmtId="1" fontId="8" fillId="40" borderId="68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>
      <alignment/>
    </xf>
    <xf numFmtId="0" fontId="0" fillId="38" borderId="68" xfId="0" applyFont="1" applyFill="1" applyBorder="1" applyAlignment="1" applyProtection="1">
      <alignment horizontal="left"/>
      <protection hidden="1"/>
    </xf>
    <xf numFmtId="0" fontId="16" fillId="38" borderId="71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2" xfId="0" applyNumberFormat="1" applyFont="1" applyFill="1" applyBorder="1" applyAlignment="1" applyProtection="1">
      <alignment/>
      <protection hidden="1"/>
    </xf>
    <xf numFmtId="0" fontId="23" fillId="38" borderId="73" xfId="0" applyNumberFormat="1" applyFont="1" applyFill="1" applyBorder="1" applyAlignment="1" applyProtection="1">
      <alignment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27" fillId="43" borderId="21" xfId="0" applyFont="1" applyFill="1" applyBorder="1" applyAlignment="1" applyProtection="1">
      <alignment horizontal="center"/>
      <protection locked="0"/>
    </xf>
    <xf numFmtId="0" fontId="27" fillId="43" borderId="21" xfId="0" applyFont="1" applyFill="1" applyBorder="1" applyAlignment="1" applyProtection="1">
      <alignment horizontal="center" vertical="top"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40" borderId="73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1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4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23" fillId="38" borderId="75" xfId="0" applyNumberFormat="1" applyFont="1" applyFill="1" applyBorder="1" applyAlignment="1" applyProtection="1">
      <alignment/>
      <protection hidden="1"/>
    </xf>
    <xf numFmtId="1" fontId="8" fillId="40" borderId="76" xfId="0" applyNumberFormat="1" applyFont="1" applyFill="1" applyBorder="1" applyAlignment="1" applyProtection="1">
      <alignment horizontal="center"/>
      <protection hidden="1"/>
    </xf>
    <xf numFmtId="0" fontId="0" fillId="38" borderId="76" xfId="0" applyFill="1" applyBorder="1" applyAlignment="1">
      <alignment/>
    </xf>
    <xf numFmtId="0" fontId="16" fillId="38" borderId="74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7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41" borderId="78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372725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62990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CHEJAR_01-08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9">
      <selection activeCell="AB32" sqref="AB32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41122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13.194444444444445</v>
      </c>
      <c r="M5" s="52"/>
      <c r="N5" s="53"/>
      <c r="O5" s="54">
        <v>12.633333333333333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5" t="s">
        <v>21</v>
      </c>
      <c r="O6" s="265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6" t="s">
        <v>25</v>
      </c>
      <c r="B8" s="267"/>
      <c r="C8" s="267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12.555555555555555</v>
      </c>
      <c r="O8" s="80">
        <f>AVERAGE(J23:J82)</f>
        <v>2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36</v>
      </c>
      <c r="C9" s="83">
        <v>41</v>
      </c>
      <c r="D9" s="84"/>
      <c r="E9" s="84"/>
      <c r="F9" s="85">
        <f aca="true" t="shared" si="0" ref="F9:F15">($B9*$B$7+$C9*$C$7)/100</f>
        <v>36.5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4.558264777059113</v>
      </c>
      <c r="O9" s="80">
        <f>STDEV(J23:J82)</f>
        <v>0.5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5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8" t="s">
        <v>34</v>
      </c>
      <c r="J11" s="269"/>
      <c r="K11" s="110">
        <f>COUNTIF($G$23:$G$82,"=HET")</f>
        <v>0</v>
      </c>
      <c r="L11" s="111"/>
      <c r="M11" s="101" t="s">
        <v>35</v>
      </c>
      <c r="N11" s="102">
        <f>MAX(I23:I82)</f>
        <v>19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>
        <v>26</v>
      </c>
      <c r="C12" s="114">
        <v>40.7</v>
      </c>
      <c r="D12" s="107"/>
      <c r="E12" s="107"/>
      <c r="F12" s="108">
        <f t="shared" si="0"/>
        <v>27.47</v>
      </c>
      <c r="G12" s="115"/>
      <c r="H12" s="66"/>
      <c r="I12" s="270" t="s">
        <v>37</v>
      </c>
      <c r="J12" s="261"/>
      <c r="K12" s="110">
        <f>COUNTIF($G$23:$G$82,"=ALG")</f>
        <v>6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>
        <v>10</v>
      </c>
      <c r="C13" s="114">
        <v>1</v>
      </c>
      <c r="D13" s="107"/>
      <c r="E13" s="107"/>
      <c r="F13" s="108">
        <f t="shared" si="0"/>
        <v>9.1</v>
      </c>
      <c r="G13" s="115"/>
      <c r="H13" s="66"/>
      <c r="I13" s="260" t="s">
        <v>39</v>
      </c>
      <c r="J13" s="261"/>
      <c r="K13" s="110">
        <f>COUNTIF($G$23:$G$82,"=BRm")+COUNTIF($G$23:$G$82,"=BRh")</f>
        <v>5</v>
      </c>
      <c r="L13" s="111"/>
      <c r="M13" s="121" t="s">
        <v>40</v>
      </c>
      <c r="N13" s="122">
        <f>COUNTIF(F23:F82,"&gt;0")</f>
        <v>12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60" t="s">
        <v>42</v>
      </c>
      <c r="J14" s="261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9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/>
      <c r="C15" s="130"/>
      <c r="D15" s="107"/>
      <c r="E15" s="107"/>
      <c r="F15" s="108">
        <f t="shared" si="0"/>
        <v>0</v>
      </c>
      <c r="G15" s="115"/>
      <c r="H15" s="66"/>
      <c r="I15" s="260" t="s">
        <v>45</v>
      </c>
      <c r="J15" s="261"/>
      <c r="K15" s="110">
        <f>(COUNTIF($G$23:$G$82,"=PHy"))+(COUNTIF($G$23:$G$82,"=PHe"))+(COUNTIF($G$23:$G$82,"=PHg"))+(COUNTIF($G$23:$G$82,"=PHx"))</f>
        <v>0</v>
      </c>
      <c r="L15" s="111"/>
      <c r="M15" s="131" t="s">
        <v>46</v>
      </c>
      <c r="N15" s="132">
        <f>COUNTIF(J23:J82,"=1")</f>
        <v>1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/>
      <c r="C16" s="106"/>
      <c r="D16" s="134"/>
      <c r="E16" s="134"/>
      <c r="F16" s="135"/>
      <c r="G16" s="135">
        <f>($B16*$B$7+$C16*$C$7)/100</f>
        <v>0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7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36</v>
      </c>
      <c r="C17" s="114">
        <v>41</v>
      </c>
      <c r="D17" s="107"/>
      <c r="E17" s="107"/>
      <c r="F17" s="138"/>
      <c r="G17" s="108">
        <f>($B17*$B$7+$C17*$C$7)/100</f>
        <v>36.5</v>
      </c>
      <c r="H17" s="66"/>
      <c r="I17" s="260"/>
      <c r="J17" s="261"/>
      <c r="K17" s="137"/>
      <c r="L17" s="111"/>
      <c r="M17" s="131" t="s">
        <v>50</v>
      </c>
      <c r="N17" s="132">
        <f>COUNTIF(J23:J82,"=3")</f>
        <v>1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/>
      <c r="C18" s="142"/>
      <c r="D18" s="107"/>
      <c r="E18" s="143" t="s">
        <v>52</v>
      </c>
      <c r="F18" s="138"/>
      <c r="G18" s="108">
        <f>($B18*$B$7+$C18*$C$7)/100</f>
        <v>0</v>
      </c>
      <c r="H18" s="66"/>
      <c r="I18" s="260"/>
      <c r="J18" s="261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54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 t="str">
        <f>IF(G19=F19,"","ATTENTION : le total par grp. floristiques doit être égal")</f>
        <v>ATTENTION : le total par grp. floristiques doit être égal</v>
      </c>
      <c r="E19" s="151" t="str">
        <f>IF(G19=F19,"","au total par grp. Fonctionnels !")</f>
        <v>au total par grp. Fonctionnels !</v>
      </c>
      <c r="F19" s="152">
        <f>SUM(F11:F15)</f>
        <v>36.57</v>
      </c>
      <c r="G19" s="152">
        <f>SUM(G16:G18)</f>
        <v>36.5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54</v>
      </c>
    </row>
    <row r="20" spans="1:23" ht="12.75">
      <c r="A20" s="160" t="s">
        <v>56</v>
      </c>
      <c r="B20" s="161">
        <f>SUM(B23:B82)</f>
        <v>36.13</v>
      </c>
      <c r="C20" s="162">
        <f>SUM(C23:C82)</f>
        <v>41.73</v>
      </c>
      <c r="D20" s="163"/>
      <c r="E20" s="164" t="s">
        <v>52</v>
      </c>
      <c r="F20" s="165">
        <f>($B20*$B$7+$C20*$C$7)/100</f>
        <v>36.69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54</v>
      </c>
      <c r="W20" s="146" t="s">
        <v>54</v>
      </c>
    </row>
    <row r="21" spans="1:23" ht="12.75">
      <c r="A21" s="174" t="s">
        <v>58</v>
      </c>
      <c r="B21" s="175">
        <f>B20*B7/100</f>
        <v>32.517</v>
      </c>
      <c r="C21" s="175">
        <f>C20*C7/100</f>
        <v>4.172999999999999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36.690000000000005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59</v>
      </c>
      <c r="R21" s="8"/>
      <c r="S21" s="8"/>
      <c r="T21" s="8"/>
      <c r="U21" s="8"/>
      <c r="V21" s="8" t="s">
        <v>54</v>
      </c>
      <c r="W21" s="146" t="s">
        <v>54</v>
      </c>
    </row>
    <row r="22" spans="1:29" ht="12.75">
      <c r="A22" s="185" t="s">
        <v>60</v>
      </c>
      <c r="B22" s="186" t="s">
        <v>61</v>
      </c>
      <c r="C22" s="187" t="s">
        <v>61</v>
      </c>
      <c r="D22" s="134"/>
      <c r="E22" s="134"/>
      <c r="F22" s="188" t="s">
        <v>62</v>
      </c>
      <c r="G22" s="189" t="s">
        <v>63</v>
      </c>
      <c r="H22" s="134"/>
      <c r="I22" s="190" t="s">
        <v>64</v>
      </c>
      <c r="J22" s="190" t="s">
        <v>65</v>
      </c>
      <c r="K22" s="262" t="s">
        <v>66</v>
      </c>
      <c r="L22" s="262"/>
      <c r="M22" s="262"/>
      <c r="N22" s="262"/>
      <c r="O22" s="263"/>
      <c r="P22" s="191" t="s">
        <v>67</v>
      </c>
      <c r="Q22" s="192" t="s">
        <v>68</v>
      </c>
      <c r="R22" s="193" t="s">
        <v>69</v>
      </c>
      <c r="S22" s="194" t="s">
        <v>70</v>
      </c>
      <c r="T22" s="195" t="s">
        <v>71</v>
      </c>
      <c r="U22" s="196" t="s">
        <v>72</v>
      </c>
      <c r="V22" s="194" t="s">
        <v>73</v>
      </c>
      <c r="Y22" s="8" t="s">
        <v>74</v>
      </c>
      <c r="Z22" s="8" t="s">
        <v>75</v>
      </c>
      <c r="AA22" s="197" t="s">
        <v>76</v>
      </c>
      <c r="AB22" s="197" t="s">
        <v>77</v>
      </c>
      <c r="AC22" s="198" t="s">
        <v>78</v>
      </c>
    </row>
    <row r="23" spans="1:55" ht="15">
      <c r="A23" s="199" t="s">
        <v>79</v>
      </c>
      <c r="B23" s="200">
        <v>8.5</v>
      </c>
      <c r="C23" s="201">
        <v>0.51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7.7010000000000005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6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1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Cladophora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3" ref="Q23:Q82">IF(ISTEXT(H23),"",(B23*$B$7/100)+(C23*$C$7/100))</f>
        <v>7.7010000000000005</v>
      </c>
      <c r="R23" s="212">
        <f aca="true" t="shared" si="4" ref="R23:R82">IF(OR(ISTEXT(H23),Q23=0),"",IF(Q23&lt;0.1,1,IF(Q23&lt;1,2,IF(Q23&lt;10,3,IF(Q23&lt;50,4,IF(Q23&gt;=50,5,""))))))</f>
        <v>3</v>
      </c>
      <c r="S23" s="212">
        <f aca="true" t="shared" si="5" ref="S23:S82">IF(ISERROR(R23*I23),0,R23*I23)</f>
        <v>18</v>
      </c>
      <c r="T23" s="212">
        <f aca="true" t="shared" si="6" ref="T23:T82">IF(ISERROR(R23*I23*J23),0,R23*I23*J23)</f>
        <v>18</v>
      </c>
      <c r="U23" s="212">
        <f aca="true" t="shared" si="7" ref="U23:U82">IF(ISERROR(R23*J23),0,R23*J23)</f>
        <v>3</v>
      </c>
      <c r="V23" s="213">
        <v>3</v>
      </c>
      <c r="W23" s="214" t="s">
        <v>54</v>
      </c>
      <c r="X23" s="214"/>
      <c r="Y23" s="215" t="str">
        <f>IF(A23="new.cod","NEWCOD",IF(AND((Z23=""),ISTEXT(A23)),A23,IF(Z23="","",INDEX('[1]liste reference'!$A$7:$A$892,Z23))))</f>
        <v>CLASPX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182</v>
      </c>
      <c r="AA23" s="216"/>
      <c r="AB23" s="217"/>
      <c r="AC23" s="217"/>
      <c r="BC23" s="8">
        <f aca="true" t="shared" si="8" ref="BC23:BC82">IF(A23="","",1)</f>
        <v>1</v>
      </c>
    </row>
    <row r="24" spans="1:55" ht="15">
      <c r="A24" s="199" t="s">
        <v>80</v>
      </c>
      <c r="B24" s="218">
        <v>0.6</v>
      </c>
      <c r="C24" s="219">
        <v>12</v>
      </c>
      <c r="D24" s="220" t="str">
        <f>IF(ISERROR(VLOOKUP($A24,'[1]liste reference'!$A$7:$D$892,2,0)),IF(ISERROR(VLOOKUP($A24,'[1]liste reference'!$B$7:$D$892,1,0)),"",VLOOKUP($A24,'[1]liste reference'!$B$7:$D$892,1,0)),VLOOKUP($A24,'[1]liste reference'!$A$7:$D$892,2,0))</f>
        <v>Diatoma sp.</v>
      </c>
      <c r="E24" s="220" t="e">
        <f>IF(D24="",,VLOOKUP(D24,D$22:D23,1,0))</f>
        <v>#N/A</v>
      </c>
      <c r="F24" s="221">
        <f t="shared" si="1"/>
        <v>1.74</v>
      </c>
      <c r="G24" s="222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3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12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Diatoma sp.</v>
      </c>
      <c r="L24" s="224"/>
      <c r="M24" s="224"/>
      <c r="N24" s="224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11">
        <f t="shared" si="3"/>
        <v>1.74</v>
      </c>
      <c r="R24" s="212">
        <f t="shared" si="4"/>
        <v>3</v>
      </c>
      <c r="S24" s="212">
        <f t="shared" si="5"/>
        <v>36</v>
      </c>
      <c r="T24" s="212">
        <f t="shared" si="6"/>
        <v>72</v>
      </c>
      <c r="U24" s="225">
        <f t="shared" si="7"/>
        <v>6</v>
      </c>
      <c r="V24" s="213">
        <v>6</v>
      </c>
      <c r="W24" s="226" t="s">
        <v>54</v>
      </c>
      <c r="Y24" s="215" t="str">
        <f>IF(A24="new.cod","NEWCOD",IF(AND((Z24=""),ISTEXT(A24)),A24,IF(Z24="","",INDEX('[1]liste reference'!$A$7:$A$892,Z24))))</f>
        <v>DIASPX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210</v>
      </c>
      <c r="AA24" s="216"/>
      <c r="AB24" s="217"/>
      <c r="AC24" s="217"/>
      <c r="BC24" s="8">
        <f t="shared" si="8"/>
        <v>1</v>
      </c>
    </row>
    <row r="25" spans="1:55" ht="15">
      <c r="A25" s="199" t="s">
        <v>81</v>
      </c>
      <c r="B25" s="218">
        <v>2.4</v>
      </c>
      <c r="C25" s="219">
        <v>28.1</v>
      </c>
      <c r="D25" s="220" t="str">
        <f>IF(ISERROR(VLOOKUP($A25,'[1]liste reference'!$A$7:$D$892,2,0)),IF(ISERROR(VLOOKUP($A25,'[1]liste reference'!$B$7:$D$892,1,0)),"",VLOOKUP($A25,'[1]liste reference'!$B$7:$D$892,1,0)),VLOOKUP($A25,'[1]liste reference'!$A$7:$D$892,2,0))</f>
        <v>Hydrurus sp.</v>
      </c>
      <c r="E25" s="220" t="e">
        <f>IF(D25="",,VLOOKUP(D25,D$22:D24,1,0))</f>
        <v>#N/A</v>
      </c>
      <c r="F25" s="221">
        <f t="shared" si="1"/>
        <v>4.97</v>
      </c>
      <c r="G25" s="222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3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16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2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Hydrurus sp.</v>
      </c>
      <c r="L25" s="224"/>
      <c r="M25" s="224"/>
      <c r="N25" s="224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6183</v>
      </c>
      <c r="Q25" s="211">
        <f t="shared" si="3"/>
        <v>4.970000000000001</v>
      </c>
      <c r="R25" s="212">
        <f t="shared" si="4"/>
        <v>3</v>
      </c>
      <c r="S25" s="212">
        <f t="shared" si="5"/>
        <v>48</v>
      </c>
      <c r="T25" s="212">
        <f t="shared" si="6"/>
        <v>96</v>
      </c>
      <c r="U25" s="225">
        <f t="shared" si="7"/>
        <v>6</v>
      </c>
      <c r="V25" s="213">
        <v>6</v>
      </c>
      <c r="W25" s="214" t="s">
        <v>54</v>
      </c>
      <c r="Y25" s="215" t="str">
        <f>IF(A25="new.cod","NEWCOD",IF(AND((Z25=""),ISTEXT(A25)),A25,IF(Z25="","",INDEX('[1]liste reference'!$A$7:$A$892,Z25))))</f>
        <v>HYUSPX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358</v>
      </c>
      <c r="AA25" s="216"/>
      <c r="AB25" s="217"/>
      <c r="AC25" s="217"/>
      <c r="BC25" s="8">
        <f t="shared" si="8"/>
        <v>1</v>
      </c>
    </row>
    <row r="26" spans="1:55" ht="15">
      <c r="A26" s="199" t="s">
        <v>82</v>
      </c>
      <c r="B26" s="218">
        <v>8</v>
      </c>
      <c r="C26" s="219">
        <v>0</v>
      </c>
      <c r="D26" s="220" t="str">
        <f>IF(ISERROR(VLOOKUP($A26,'[1]liste reference'!$A$7:$D$892,2,0)),IF(ISERROR(VLOOKUP($A26,'[1]liste reference'!$B$7:$D$892,1,0)),"",VLOOKUP($A26,'[1]liste reference'!$B$7:$D$892,1,0)),VLOOKUP($A26,'[1]liste reference'!$A$7:$D$892,2,0))</f>
        <v>Lemanea sp.</v>
      </c>
      <c r="E26" s="220" t="e">
        <f>IF(D26="",,VLOOKUP(D26,D$22:D25,1,0))</f>
        <v>#N/A</v>
      </c>
      <c r="F26" s="221">
        <f t="shared" si="1"/>
        <v>7.2</v>
      </c>
      <c r="G26" s="222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3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15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2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Lemanea sp.</v>
      </c>
      <c r="L26" s="224"/>
      <c r="M26" s="224"/>
      <c r="N26" s="224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1159</v>
      </c>
      <c r="Q26" s="211">
        <f t="shared" si="3"/>
        <v>7.2</v>
      </c>
      <c r="R26" s="212">
        <f t="shared" si="4"/>
        <v>3</v>
      </c>
      <c r="S26" s="212">
        <f t="shared" si="5"/>
        <v>45</v>
      </c>
      <c r="T26" s="212">
        <f t="shared" si="6"/>
        <v>90</v>
      </c>
      <c r="U26" s="225">
        <f t="shared" si="7"/>
        <v>6</v>
      </c>
      <c r="V26" s="213">
        <v>6</v>
      </c>
      <c r="W26" s="214" t="s">
        <v>54</v>
      </c>
      <c r="Y26" s="215" t="str">
        <f>IF(A26="new.cod","NEWCOD",IF(AND((Z26=""),ISTEXT(A26)),A26,IF(Z26="","",INDEX('[1]liste reference'!$A$7:$A$892,Z26))))</f>
        <v>LEASPX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407</v>
      </c>
      <c r="AA26" s="216"/>
      <c r="AB26" s="217"/>
      <c r="AC26" s="217"/>
      <c r="BC26" s="8">
        <f t="shared" si="8"/>
        <v>1</v>
      </c>
    </row>
    <row r="27" spans="1:55" ht="15">
      <c r="A27" s="199" t="s">
        <v>83</v>
      </c>
      <c r="B27" s="218">
        <v>0.01</v>
      </c>
      <c r="C27" s="219">
        <v>0</v>
      </c>
      <c r="D27" s="220" t="str">
        <f>IF(ISERROR(VLOOKUP($A27,'[1]liste reference'!$A$7:$D$892,2,0)),IF(ISERROR(VLOOKUP($A27,'[1]liste reference'!$B$7:$D$892,1,0)),"",VLOOKUP($A27,'[1]liste reference'!$B$7:$D$892,1,0)),VLOOKUP($A27,'[1]liste reference'!$A$7:$D$892,2,0))</f>
        <v>Microspora sp.</v>
      </c>
      <c r="E27" s="220" t="e">
        <f>IF(D27="",,VLOOKUP(D27,D$22:D26,1,0))</f>
        <v>#N/A</v>
      </c>
      <c r="F27" s="221">
        <f t="shared" si="1"/>
        <v>0.009000000000000001</v>
      </c>
      <c r="G27" s="222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ALG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2</v>
      </c>
      <c r="I27" s="223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12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2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Microspora sp.</v>
      </c>
      <c r="L27" s="224"/>
      <c r="M27" s="224"/>
      <c r="N27" s="224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1132</v>
      </c>
      <c r="Q27" s="211">
        <f t="shared" si="3"/>
        <v>0.009000000000000001</v>
      </c>
      <c r="R27" s="212">
        <f t="shared" si="4"/>
        <v>1</v>
      </c>
      <c r="S27" s="212">
        <f t="shared" si="5"/>
        <v>12</v>
      </c>
      <c r="T27" s="212">
        <f t="shared" si="6"/>
        <v>24</v>
      </c>
      <c r="U27" s="225">
        <f t="shared" si="7"/>
        <v>2</v>
      </c>
      <c r="V27" s="213">
        <v>2</v>
      </c>
      <c r="W27" s="214" t="s">
        <v>54</v>
      </c>
      <c r="Y27" s="215" t="str">
        <f>IF(A27="new.cod","NEWCOD",IF(AND((Z27=""),ISTEXT(A27)),A27,IF(Z27="","",INDEX('[1]liste reference'!$A$7:$A$892,Z27))))</f>
        <v>MICSPX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466</v>
      </c>
      <c r="AA27" s="216"/>
      <c r="AB27" s="217"/>
      <c r="AC27" s="217"/>
      <c r="BC27" s="8">
        <f t="shared" si="8"/>
        <v>1</v>
      </c>
    </row>
    <row r="28" spans="1:55" ht="15">
      <c r="A28" s="199" t="s">
        <v>84</v>
      </c>
      <c r="B28" s="218">
        <v>6.5</v>
      </c>
      <c r="C28" s="219">
        <v>0.09999999999999999</v>
      </c>
      <c r="D28" s="220" t="str">
        <f>IF(ISERROR(VLOOKUP($A28,'[1]liste reference'!$A$7:$D$892,2,0)),IF(ISERROR(VLOOKUP($A28,'[1]liste reference'!$B$7:$D$892,1,0)),"",VLOOKUP($A28,'[1]liste reference'!$B$7:$D$892,1,0)),VLOOKUP($A28,'[1]liste reference'!$A$7:$D$892,2,0))</f>
        <v>Phormidium sp.</v>
      </c>
      <c r="E28" s="220" t="e">
        <f>IF(D28="",,VLOOKUP(D28,D$22:D27,1,0))</f>
        <v>#N/A</v>
      </c>
      <c r="F28" s="221">
        <f t="shared" si="1"/>
        <v>5.86</v>
      </c>
      <c r="G28" s="222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ALG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2</v>
      </c>
      <c r="I28" s="223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13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2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Phormidium sp.</v>
      </c>
      <c r="L28" s="224"/>
      <c r="M28" s="224"/>
      <c r="N28" s="224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6414</v>
      </c>
      <c r="Q28" s="211">
        <f t="shared" si="3"/>
        <v>5.859999999999999</v>
      </c>
      <c r="R28" s="212">
        <f t="shared" si="4"/>
        <v>3</v>
      </c>
      <c r="S28" s="212">
        <f t="shared" si="5"/>
        <v>39</v>
      </c>
      <c r="T28" s="212">
        <f t="shared" si="6"/>
        <v>78</v>
      </c>
      <c r="U28" s="225">
        <f t="shared" si="7"/>
        <v>6</v>
      </c>
      <c r="V28" s="213">
        <v>6</v>
      </c>
      <c r="W28" s="214" t="s">
        <v>54</v>
      </c>
      <c r="Y28" s="215" t="str">
        <f>IF(A28="new.cod","NEWCOD",IF(AND((Z28=""),ISTEXT(A28)),A28,IF(Z28="","",INDEX('[1]liste reference'!$A$7:$A$892,Z28))))</f>
        <v>PHOSPX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570</v>
      </c>
      <c r="AA28" s="216"/>
      <c r="AB28" s="217"/>
      <c r="AC28" s="217"/>
      <c r="BC28" s="8">
        <f t="shared" si="8"/>
        <v>1</v>
      </c>
    </row>
    <row r="29" spans="1:55" ht="15">
      <c r="A29" s="227" t="s">
        <v>85</v>
      </c>
      <c r="B29" s="218">
        <v>0</v>
      </c>
      <c r="C29" s="219">
        <v>0.01</v>
      </c>
      <c r="D29" s="220" t="str">
        <f>IF(ISERROR(VLOOKUP($A29,'[1]liste reference'!$A$7:$D$892,2,0)),IF(ISERROR(VLOOKUP($A29,'[1]liste reference'!$B$7:$D$892,1,0)),"",VLOOKUP($A29,'[1]liste reference'!$B$7:$D$892,1,0)),VLOOKUP($A29,'[1]liste reference'!$A$7:$D$892,2,0))</f>
        <v>Amblystegium riparium</v>
      </c>
      <c r="E29" s="220" t="e">
        <f>IF(D29="",,VLOOKUP(D29,D$22:D28,1,0))</f>
        <v>#N/A</v>
      </c>
      <c r="F29" s="221">
        <f t="shared" si="1"/>
        <v>0.001</v>
      </c>
      <c r="G29" s="222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BRm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5</v>
      </c>
      <c r="I29" s="223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5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2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Amblystegium riparium</v>
      </c>
      <c r="L29" s="224"/>
      <c r="M29" s="224"/>
      <c r="N29" s="224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1219</v>
      </c>
      <c r="Q29" s="211">
        <f t="shared" si="3"/>
        <v>0.001</v>
      </c>
      <c r="R29" s="212">
        <f t="shared" si="4"/>
        <v>1</v>
      </c>
      <c r="S29" s="212">
        <f t="shared" si="5"/>
        <v>5</v>
      </c>
      <c r="T29" s="212">
        <f t="shared" si="6"/>
        <v>10</v>
      </c>
      <c r="U29" s="225">
        <f t="shared" si="7"/>
        <v>2</v>
      </c>
      <c r="V29" s="213">
        <v>2</v>
      </c>
      <c r="W29" s="214" t="s">
        <v>54</v>
      </c>
      <c r="Y29" s="215" t="str">
        <f>IF(A29="new.cod","NEWCOD",IF(AND((Z29=""),ISTEXT(A29)),A29,IF(Z29="","",INDEX('[1]liste reference'!$A$7:$A$892,Z29))))</f>
        <v>AMBRIP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24</v>
      </c>
      <c r="AA29" s="216"/>
      <c r="AB29" s="217"/>
      <c r="AC29" s="217"/>
      <c r="BC29" s="8">
        <f t="shared" si="8"/>
        <v>1</v>
      </c>
    </row>
    <row r="30" spans="1:55" ht="15">
      <c r="A30" s="227" t="s">
        <v>86</v>
      </c>
      <c r="B30" s="218">
        <v>5</v>
      </c>
      <c r="C30" s="219">
        <v>0.5</v>
      </c>
      <c r="D30" s="220" t="str">
        <f>IF(ISERROR(VLOOKUP($A30,'[1]liste reference'!$A$7:$D$892,2,0)),IF(ISERROR(VLOOKUP($A30,'[1]liste reference'!$B$7:$D$892,1,0)),"",VLOOKUP($A30,'[1]liste reference'!$B$7:$D$892,1,0)),VLOOKUP($A30,'[1]liste reference'!$A$7:$D$892,2,0))</f>
        <v>Brachythecium sp.</v>
      </c>
      <c r="E30" s="220" t="e">
        <f>IF(D30="",,VLOOKUP(D30,D$22:D29,1,0))</f>
        <v>#N/A</v>
      </c>
      <c r="F30" s="221">
        <f t="shared" si="1"/>
        <v>4.55</v>
      </c>
      <c r="G30" s="222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BRm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5</v>
      </c>
      <c r="I30" s="223">
        <f>IF(ISNUMBER(H30),IF(ISERROR(VLOOKUP($A30,'[1]liste reference'!$A$7:$P$892,3,0)),IF(ISERROR(VLOOKUP($A30,'[1]liste reference'!$B$7:$P$892,2,0)),"",VLOOKUP($A30,'[1]liste reference'!$B$7:$P$892,2,0)),VLOOKUP($A30,'[1]liste reference'!$A$7:$P$892,3,0)),"")</f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Brachythecium sp.</v>
      </c>
      <c r="L30" s="224"/>
      <c r="M30" s="224"/>
      <c r="N30" s="224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1258</v>
      </c>
      <c r="Q30" s="211">
        <f t="shared" si="3"/>
        <v>4.55</v>
      </c>
      <c r="R30" s="212">
        <f t="shared" si="4"/>
        <v>3</v>
      </c>
      <c r="S30" s="212">
        <f t="shared" si="5"/>
        <v>0</v>
      </c>
      <c r="T30" s="212">
        <f t="shared" si="6"/>
        <v>0</v>
      </c>
      <c r="U30" s="225">
        <f t="shared" si="7"/>
        <v>0</v>
      </c>
      <c r="V30" s="213">
        <v>0</v>
      </c>
      <c r="W30" s="214" t="s">
        <v>54</v>
      </c>
      <c r="Y30" s="215" t="str">
        <f>IF(A30="new.cod","NEWCOD",IF(AND((Z30=""),ISTEXT(A30)),A30,IF(Z30="","",INDEX('[1]liste reference'!$A$7:$A$892,Z30))))</f>
        <v>BRASPX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71</v>
      </c>
      <c r="AA30" s="216"/>
      <c r="AB30" s="217"/>
      <c r="AC30" s="217"/>
      <c r="BC30" s="8">
        <f t="shared" si="8"/>
        <v>1</v>
      </c>
    </row>
    <row r="31" spans="1:55" ht="15">
      <c r="A31" s="227" t="s">
        <v>87</v>
      </c>
      <c r="B31" s="218">
        <v>0.1</v>
      </c>
      <c r="C31" s="219">
        <v>0</v>
      </c>
      <c r="D31" s="220" t="str">
        <f>IF(ISERROR(VLOOKUP($A31,'[1]liste reference'!$A$7:$D$892,2,0)),IF(ISERROR(VLOOKUP($A31,'[1]liste reference'!$B$7:$D$892,1,0)),"",VLOOKUP($A31,'[1]liste reference'!$B$7:$D$892,1,0)),VLOOKUP($A31,'[1]liste reference'!$A$7:$D$892,2,0))</f>
        <v>Cinclidotus aquaticus</v>
      </c>
      <c r="E31" s="220" t="e">
        <f>IF(D31="",,VLOOKUP(D31,D$22:D30,1,0))</f>
        <v>#N/A</v>
      </c>
      <c r="F31" s="221">
        <f t="shared" si="1"/>
        <v>0.09</v>
      </c>
      <c r="G31" s="222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BRm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5</v>
      </c>
      <c r="I31" s="223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15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2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Cinclidotus aquaticus</v>
      </c>
      <c r="L31" s="224"/>
      <c r="M31" s="224"/>
      <c r="N31" s="224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1318</v>
      </c>
      <c r="Q31" s="211">
        <f t="shared" si="3"/>
        <v>0.09</v>
      </c>
      <c r="R31" s="212">
        <f t="shared" si="4"/>
        <v>1</v>
      </c>
      <c r="S31" s="212">
        <f t="shared" si="5"/>
        <v>15</v>
      </c>
      <c r="T31" s="212">
        <f t="shared" si="6"/>
        <v>30</v>
      </c>
      <c r="U31" s="225">
        <f t="shared" si="7"/>
        <v>2</v>
      </c>
      <c r="V31" s="213">
        <v>2</v>
      </c>
      <c r="W31" s="214" t="s">
        <v>54</v>
      </c>
      <c r="Y31" s="215" t="str">
        <f>IF(A31="new.cod","NEWCOD",IF(AND((Z31=""),ISTEXT(A31)),A31,IF(Z31="","",INDEX('[1]liste reference'!$A$7:$A$892,Z31))))</f>
        <v>CINAQU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173</v>
      </c>
      <c r="AA31" s="216"/>
      <c r="AB31" s="217"/>
      <c r="AC31" s="217"/>
      <c r="BC31" s="8">
        <f t="shared" si="8"/>
        <v>1</v>
      </c>
    </row>
    <row r="32" spans="1:55" ht="15">
      <c r="A32" s="227" t="s">
        <v>88</v>
      </c>
      <c r="B32" s="218">
        <v>0.01</v>
      </c>
      <c r="C32" s="219">
        <v>0.01</v>
      </c>
      <c r="D32" s="220" t="str">
        <f>IF(ISERROR(VLOOKUP($A32,'[1]liste reference'!$A$7:$D$892,2,0)),IF(ISERROR(VLOOKUP($A32,'[1]liste reference'!$B$7:$D$892,1,0)),"",VLOOKUP($A32,'[1]liste reference'!$B$7:$D$892,1,0)),VLOOKUP($A32,'[1]liste reference'!$A$7:$D$892,2,0))</f>
        <v>Hygrohypnum luridum</v>
      </c>
      <c r="E32" s="220" t="e">
        <f>IF(D32="",,VLOOKUP(D32,D$22:D31,1,0))</f>
        <v>#N/A</v>
      </c>
      <c r="F32" s="221">
        <f t="shared" si="1"/>
        <v>0.01</v>
      </c>
      <c r="G32" s="222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BRm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5</v>
      </c>
      <c r="I32" s="223">
        <f>IF(ISNUMBER(H32),IF(ISERROR(VLOOKUP($A32,'[1]liste reference'!$A$7:$P$892,3,0)),IF(ISERROR(VLOOKUP($A32,'[1]liste reference'!$B$7:$P$892,2,0)),"",VLOOKUP($A32,'[1]liste reference'!$B$7:$P$892,2,0)),VLOOKUP($A32,'[1]liste reference'!$A$7:$P$892,3,0)),"")</f>
        <v>19</v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  <v>3</v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Hygrohypnum luridum</v>
      </c>
      <c r="L32" s="224"/>
      <c r="M32" s="224"/>
      <c r="N32" s="224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124</v>
      </c>
      <c r="Q32" s="211">
        <f t="shared" si="3"/>
        <v>0.010000000000000002</v>
      </c>
      <c r="R32" s="212">
        <f t="shared" si="4"/>
        <v>1</v>
      </c>
      <c r="S32" s="212">
        <f t="shared" si="5"/>
        <v>19</v>
      </c>
      <c r="T32" s="212">
        <f t="shared" si="6"/>
        <v>57</v>
      </c>
      <c r="U32" s="225">
        <f t="shared" si="7"/>
        <v>3</v>
      </c>
      <c r="V32" s="213">
        <v>3</v>
      </c>
      <c r="W32" s="214" t="s">
        <v>54</v>
      </c>
      <c r="Y32" s="215" t="str">
        <f>IF(A32="new.cod","NEWCOD",IF(AND((Z32=""),ISTEXT(A32)),A32,IF(Z32="","",INDEX('[1]liste reference'!$A$7:$A$892,Z32))))</f>
        <v>HYGLUR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345</v>
      </c>
      <c r="AA32" s="216"/>
      <c r="AB32" s="217"/>
      <c r="AC32" s="217"/>
      <c r="BC32" s="8">
        <f t="shared" si="8"/>
        <v>1</v>
      </c>
    </row>
    <row r="33" spans="1:55" ht="15">
      <c r="A33" s="228" t="s">
        <v>89</v>
      </c>
      <c r="B33" s="218">
        <v>5</v>
      </c>
      <c r="C33" s="219">
        <v>0.5</v>
      </c>
      <c r="D33" s="220" t="str">
        <f>IF(ISERROR(VLOOKUP($A33,'[1]liste reference'!$A$7:$D$892,2,0)),IF(ISERROR(VLOOKUP($A33,'[1]liste reference'!$B$7:$D$892,1,0)),"",VLOOKUP($A33,'[1]liste reference'!$B$7:$D$892,1,0)),VLOOKUP($A33,'[1]liste reference'!$A$7:$D$892,2,0))</f>
        <v>Rhynchostegium sp.</v>
      </c>
      <c r="E33" s="220" t="e">
        <f>IF(D33="",,VLOOKUP(D33,D$22:D32,1,0))</f>
        <v>#N/A</v>
      </c>
      <c r="F33" s="221">
        <f t="shared" si="1"/>
        <v>4.55</v>
      </c>
      <c r="G33" s="222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BRm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5</v>
      </c>
      <c r="I33" s="223">
        <f>IF(ISNUMBER(H33),IF(ISERROR(VLOOKUP($A33,'[1]liste reference'!$A$7:$P$892,3,0)),IF(ISERROR(VLOOKUP($A33,'[1]liste reference'!$B$7:$P$892,2,0)),"",VLOOKUP($A33,'[1]liste reference'!$B$7:$P$892,2,0)),VLOOKUP($A33,'[1]liste reference'!$A$7:$P$892,3,0)),"")</f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Rhynchostegium sp.</v>
      </c>
      <c r="L33" s="224"/>
      <c r="M33" s="224"/>
      <c r="N33" s="224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1266</v>
      </c>
      <c r="Q33" s="211">
        <f t="shared" si="3"/>
        <v>4.55</v>
      </c>
      <c r="R33" s="212">
        <f t="shared" si="4"/>
        <v>3</v>
      </c>
      <c r="S33" s="212">
        <f t="shared" si="5"/>
        <v>0</v>
      </c>
      <c r="T33" s="212">
        <f t="shared" si="6"/>
        <v>0</v>
      </c>
      <c r="U33" s="225">
        <f t="shared" si="7"/>
        <v>0</v>
      </c>
      <c r="V33" s="213">
        <v>0</v>
      </c>
      <c r="W33" s="214" t="s">
        <v>54</v>
      </c>
      <c r="Y33" s="215" t="str">
        <f>IF(A33="new.cod","NEWCOD",IF(AND((Z33=""),ISTEXT(A33)),A33,IF(Z33="","",INDEX('[1]liste reference'!$A$7:$A$892,Z33))))</f>
        <v>RHYSPX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706</v>
      </c>
      <c r="AA33" s="216"/>
      <c r="AB33" s="217"/>
      <c r="AC33" s="217"/>
      <c r="BC33" s="8">
        <f t="shared" si="8"/>
        <v>1</v>
      </c>
    </row>
    <row r="34" spans="1:55" ht="12.75">
      <c r="A34" s="229" t="s">
        <v>90</v>
      </c>
      <c r="B34" s="218">
        <v>0.01</v>
      </c>
      <c r="C34" s="219">
        <v>0</v>
      </c>
      <c r="D34" s="220">
        <f>IF(ISERROR(VLOOKUP($A34,'[1]liste reference'!$A$7:$D$892,2,0)),IF(ISERROR(VLOOKUP($A34,'[1]liste reference'!$B$7:$D$892,1,0)),"",VLOOKUP($A34,'[1]liste reference'!$B$7:$D$892,1,0)),VLOOKUP($A34,'[1]liste reference'!$A$7:$D$892,2,0))</f>
      </c>
      <c r="E34" s="220">
        <f>IF(D34="",,VLOOKUP(D34,D$22:D33,1,0))</f>
        <v>0</v>
      </c>
      <c r="F34" s="230">
        <f t="shared" si="1"/>
        <v>0.009000000000000001</v>
      </c>
      <c r="G34" s="222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    -</v>
      </c>
      <c r="H34" s="205" t="str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x</v>
      </c>
      <c r="I34" s="223">
        <f>IF(ISNUMBER(H34),IF(ISERROR(VLOOKUP($A34,'[1]liste reference'!$A$7:$P$892,3,0)),IF(ISERROR(VLOOKUP($A34,'[1]liste reference'!$B$7:$P$892,2,0)),"",VLOOKUP($A34,'[1]liste reference'!$B$7:$P$892,2,0)),VLOOKUP($A34,'[1]liste reference'!$A$7:$P$892,3,0)),"")</f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Rivularia sp</v>
      </c>
      <c r="L34" s="224"/>
      <c r="M34" s="224"/>
      <c r="N34" s="224"/>
      <c r="O34" s="210">
        <f t="shared" si="2"/>
      </c>
      <c r="P34" s="210" t="str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No</v>
      </c>
      <c r="Q34" s="211">
        <f t="shared" si="3"/>
      </c>
      <c r="R34" s="212">
        <f t="shared" si="4"/>
      </c>
      <c r="S34" s="212">
        <f t="shared" si="5"/>
        <v>0</v>
      </c>
      <c r="T34" s="212">
        <f t="shared" si="6"/>
        <v>0</v>
      </c>
      <c r="U34" s="225">
        <f t="shared" si="7"/>
        <v>0</v>
      </c>
      <c r="V34" s="213">
        <v>0</v>
      </c>
      <c r="W34" s="214" t="s">
        <v>54</v>
      </c>
      <c r="Y34" s="215" t="str">
        <f>IF(A34="new.cod","NEWCOD",IF(AND((Z34=""),ISTEXT(A34)),A34,IF(Z34="","",INDEX('[1]liste reference'!$A$7:$A$892,Z34))))</f>
        <v>newcod</v>
      </c>
      <c r="Z34" s="8">
        <f>IF(ISERROR(MATCH(A34,'[1]liste reference'!$A$7:$A$892,0)),IF(ISERROR(MATCH(A34,'[1]liste reference'!$B$7:$B$892,0)),"",(MATCH(A34,'[1]liste reference'!$B$7:$B$892,0))),(MATCH(A34,'[1]liste reference'!$A$7:$A$892,0)))</f>
      </c>
      <c r="AA34" s="216"/>
      <c r="AB34" s="217" t="s">
        <v>91</v>
      </c>
      <c r="AC34" s="217"/>
      <c r="BC34" s="8">
        <f t="shared" si="8"/>
        <v>1</v>
      </c>
    </row>
    <row r="35" spans="1:55" ht="12.75">
      <c r="A35" s="229" t="s">
        <v>54</v>
      </c>
      <c r="B35" s="218"/>
      <c r="C35" s="219"/>
      <c r="D35" s="220">
        <f>IF(ISERROR(VLOOKUP($A35,'[1]liste reference'!$A$7:$D$892,2,0)),IF(ISERROR(VLOOKUP($A35,'[1]liste reference'!$B$7:$D$892,1,0)),"",VLOOKUP($A35,'[1]liste reference'!$B$7:$D$892,1,0)),VLOOKUP($A35,'[1]liste reference'!$A$7:$D$892,2,0))</f>
      </c>
      <c r="E35" s="220">
        <f>IF(D35="",,VLOOKUP(D35,D$22:D34,1,0))</f>
        <v>0</v>
      </c>
      <c r="F35" s="230">
        <f t="shared" si="1"/>
        <v>0</v>
      </c>
      <c r="G35" s="222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</c>
      <c r="H35" s="205" t="str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x</v>
      </c>
      <c r="I35" s="223">
        <f>IF(ISNUMBER(H35),IF(ISERROR(VLOOKUP($A35,'[1]liste reference'!$A$7:$P$892,3,0)),IF(ISERROR(VLOOKUP($A35,'[1]liste reference'!$B$7:$P$892,2,0)),"",VLOOKUP($A35,'[1]liste reference'!$B$7:$P$892,2,0)),VLOOKUP($A35,'[1]liste reference'!$A$7:$P$892,3,0)),"")</f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</c>
      <c r="K35" s="208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</c>
      <c r="L35" s="224"/>
      <c r="M35" s="224"/>
      <c r="N35" s="224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3"/>
      </c>
      <c r="R35" s="212">
        <f t="shared" si="4"/>
      </c>
      <c r="S35" s="212">
        <f t="shared" si="5"/>
        <v>0</v>
      </c>
      <c r="T35" s="212">
        <f t="shared" si="6"/>
        <v>0</v>
      </c>
      <c r="U35" s="225">
        <f t="shared" si="7"/>
        <v>0</v>
      </c>
      <c r="V35" s="213">
        <v>0</v>
      </c>
      <c r="W35" s="214" t="s">
        <v>54</v>
      </c>
      <c r="Y35" s="215">
        <f>IF(A35="new.cod","NEWCOD",IF(AND((Z35=""),ISTEXT(A35)),A35,IF(Z35="","",INDEX('[1]liste reference'!$A$7:$A$892,Z35))))</f>
      </c>
      <c r="Z35" s="8">
        <f>IF(ISERROR(MATCH(A35,'[1]liste reference'!$A$7:$A$892,0)),IF(ISERROR(MATCH(A35,'[1]liste reference'!$B$7:$B$892,0)),"",(MATCH(A35,'[1]liste reference'!$B$7:$B$892,0))),(MATCH(A35,'[1]liste reference'!$A$7:$A$892,0)))</f>
      </c>
      <c r="AA35" s="216"/>
      <c r="AB35" s="217"/>
      <c r="AC35" s="217"/>
      <c r="BC35" s="8">
        <f t="shared" si="8"/>
      </c>
    </row>
    <row r="36" spans="1:55" ht="12.75">
      <c r="A36" s="229" t="s">
        <v>54</v>
      </c>
      <c r="B36" s="218"/>
      <c r="C36" s="219"/>
      <c r="D36" s="220">
        <f>IF(ISERROR(VLOOKUP($A36,'[1]liste reference'!$A$7:$D$892,2,0)),IF(ISERROR(VLOOKUP($A36,'[1]liste reference'!$B$7:$D$892,1,0)),"",VLOOKUP($A36,'[1]liste reference'!$B$7:$D$892,1,0)),VLOOKUP($A36,'[1]liste reference'!$A$7:$D$892,2,0))</f>
      </c>
      <c r="E36" s="220">
        <f>IF(D36="",,VLOOKUP(D36,D$22:D35,1,0))</f>
        <v>0</v>
      </c>
      <c r="F36" s="230">
        <f t="shared" si="1"/>
        <v>0</v>
      </c>
      <c r="G36" s="222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</c>
      <c r="H36" s="205" t="str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x</v>
      </c>
      <c r="I36" s="223">
        <f>IF(ISNUMBER(H36),IF(ISERROR(VLOOKUP($A36,'[1]liste reference'!$A$7:$P$892,3,0)),IF(ISERROR(VLOOKUP($A36,'[1]liste reference'!$B$7:$P$892,2,0)),"",VLOOKUP($A36,'[1]liste reference'!$B$7:$P$892,2,0)),VLOOKUP($A36,'[1]liste reference'!$A$7:$P$892,3,0)),"")</f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</c>
      <c r="K36" s="208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</c>
      <c r="L36" s="224"/>
      <c r="M36" s="224"/>
      <c r="N36" s="224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3"/>
      </c>
      <c r="R36" s="212">
        <f t="shared" si="4"/>
      </c>
      <c r="S36" s="212">
        <f t="shared" si="5"/>
        <v>0</v>
      </c>
      <c r="T36" s="212">
        <f t="shared" si="6"/>
        <v>0</v>
      </c>
      <c r="U36" s="225">
        <f t="shared" si="7"/>
        <v>0</v>
      </c>
      <c r="V36" s="213">
        <v>0</v>
      </c>
      <c r="W36" s="214" t="s">
        <v>54</v>
      </c>
      <c r="Y36" s="215">
        <f>IF(A36="new.cod","NEWCOD",IF(AND((Z36=""),ISTEXT(A36)),A36,IF(Z36="","",INDEX('[1]liste reference'!$A$7:$A$892,Z36))))</f>
      </c>
      <c r="Z36" s="8">
        <f>IF(ISERROR(MATCH(A36,'[1]liste reference'!$A$7:$A$892,0)),IF(ISERROR(MATCH(A36,'[1]liste reference'!$B$7:$B$892,0)),"",(MATCH(A36,'[1]liste reference'!$B$7:$B$892,0))),(MATCH(A36,'[1]liste reference'!$A$7:$A$892,0)))</f>
      </c>
      <c r="AA36" s="216"/>
      <c r="AB36" s="217"/>
      <c r="AC36" s="217"/>
      <c r="BC36" s="8">
        <f t="shared" si="8"/>
      </c>
    </row>
    <row r="37" spans="1:55" ht="12.75">
      <c r="A37" s="229" t="s">
        <v>54</v>
      </c>
      <c r="B37" s="218"/>
      <c r="C37" s="219"/>
      <c r="D37" s="220">
        <f>IF(ISERROR(VLOOKUP($A37,'[1]liste reference'!$A$7:$D$892,2,0)),IF(ISERROR(VLOOKUP($A37,'[1]liste reference'!$B$7:$D$892,1,0)),"",VLOOKUP($A37,'[1]liste reference'!$B$7:$D$892,1,0)),VLOOKUP($A37,'[1]liste reference'!$A$7:$D$892,2,0))</f>
      </c>
      <c r="E37" s="220">
        <f>IF(D37="",,VLOOKUP(D37,D$22:D36,1,0))</f>
        <v>0</v>
      </c>
      <c r="F37" s="230">
        <f t="shared" si="1"/>
        <v>0</v>
      </c>
      <c r="G37" s="222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</c>
      <c r="H37" s="205" t="str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x</v>
      </c>
      <c r="I37" s="223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</c>
      <c r="L37" s="224"/>
      <c r="M37" s="224"/>
      <c r="N37" s="224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3"/>
      </c>
      <c r="R37" s="212">
        <f t="shared" si="4"/>
      </c>
      <c r="S37" s="212">
        <f t="shared" si="5"/>
        <v>0</v>
      </c>
      <c r="T37" s="212">
        <f t="shared" si="6"/>
        <v>0</v>
      </c>
      <c r="U37" s="225">
        <f t="shared" si="7"/>
        <v>0</v>
      </c>
      <c r="V37" s="213">
        <v>0</v>
      </c>
      <c r="W37" s="214" t="s">
        <v>54</v>
      </c>
      <c r="Y37" s="215">
        <f>IF(A37="new.cod","NEWCOD",IF(AND((Z37=""),ISTEXT(A37)),A37,IF(Z37="","",INDEX('[1]liste reference'!$A$7:$A$892,Z37))))</f>
      </c>
      <c r="Z37" s="8">
        <f>IF(ISERROR(MATCH(A37,'[1]liste reference'!$A$7:$A$892,0)),IF(ISERROR(MATCH(A37,'[1]liste reference'!$B$7:$B$892,0)),"",(MATCH(A37,'[1]liste reference'!$B$7:$B$892,0))),(MATCH(A37,'[1]liste reference'!$A$7:$A$892,0)))</f>
      </c>
      <c r="AA37" s="216"/>
      <c r="AB37" s="217"/>
      <c r="AC37" s="217"/>
      <c r="BC37" s="8">
        <f t="shared" si="8"/>
      </c>
    </row>
    <row r="38" spans="1:55" ht="12.75">
      <c r="A38" s="229" t="s">
        <v>54</v>
      </c>
      <c r="B38" s="218"/>
      <c r="C38" s="219"/>
      <c r="D38" s="220">
        <f>IF(ISERROR(VLOOKUP($A38,'[1]liste reference'!$A$7:$D$892,2,0)),IF(ISERROR(VLOOKUP($A38,'[1]liste reference'!$B$7:$D$892,1,0)),"",VLOOKUP($A38,'[1]liste reference'!$B$7:$D$892,1,0)),VLOOKUP($A38,'[1]liste reference'!$A$7:$D$892,2,0))</f>
      </c>
      <c r="E38" s="220">
        <f>IF(D38="",,VLOOKUP(D38,D$22:D37,1,0))</f>
        <v>0</v>
      </c>
      <c r="F38" s="230">
        <f t="shared" si="1"/>
        <v>0</v>
      </c>
      <c r="G38" s="222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</c>
      <c r="H38" s="205" t="str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x</v>
      </c>
      <c r="I38" s="223">
        <f>IF(ISNUMBER(H38),IF(ISERROR(VLOOKUP($A38,'[1]liste reference'!$A$7:$P$892,3,0)),IF(ISERROR(VLOOKUP($A38,'[1]liste reference'!$B$7:$P$892,2,0)),"",VLOOKUP($A38,'[1]liste reference'!$B$7:$P$892,2,0)),VLOOKUP($A38,'[1]liste reference'!$A$7:$P$892,3,0)),"")</f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</c>
      <c r="K38" s="208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</c>
      <c r="L38" s="224"/>
      <c r="M38" s="224"/>
      <c r="N38" s="224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3"/>
      </c>
      <c r="R38" s="212">
        <f t="shared" si="4"/>
      </c>
      <c r="S38" s="212">
        <f t="shared" si="5"/>
        <v>0</v>
      </c>
      <c r="T38" s="212">
        <f t="shared" si="6"/>
        <v>0</v>
      </c>
      <c r="U38" s="225">
        <f t="shared" si="7"/>
        <v>0</v>
      </c>
      <c r="V38" s="213">
        <v>0</v>
      </c>
      <c r="W38" s="214" t="s">
        <v>54</v>
      </c>
      <c r="Y38" s="215">
        <f>IF(A38="new.cod","NEWCOD",IF(AND((Z38=""),ISTEXT(A38)),A38,IF(Z38="","",INDEX('[1]liste reference'!$A$7:$A$892,Z38))))</f>
      </c>
      <c r="Z38" s="8">
        <f>IF(ISERROR(MATCH(A38,'[1]liste reference'!$A$7:$A$892,0)),IF(ISERROR(MATCH(A38,'[1]liste reference'!$B$7:$B$892,0)),"",(MATCH(A38,'[1]liste reference'!$B$7:$B$892,0))),(MATCH(A38,'[1]liste reference'!$A$7:$A$892,0)))</f>
      </c>
      <c r="AA38" s="216"/>
      <c r="AB38" s="217"/>
      <c r="AC38" s="217"/>
      <c r="BC38" s="8">
        <f t="shared" si="8"/>
      </c>
    </row>
    <row r="39" spans="1:55" ht="12.75">
      <c r="A39" s="229" t="s">
        <v>54</v>
      </c>
      <c r="B39" s="218"/>
      <c r="C39" s="219"/>
      <c r="D39" s="220">
        <f>IF(ISERROR(VLOOKUP($A39,'[1]liste reference'!$A$7:$D$892,2,0)),IF(ISERROR(VLOOKUP($A39,'[1]liste reference'!$B$7:$D$892,1,0)),"",VLOOKUP($A39,'[1]liste reference'!$B$7:$D$892,1,0)),VLOOKUP($A39,'[1]liste reference'!$A$7:$D$892,2,0))</f>
      </c>
      <c r="E39" s="220">
        <f>IF(D39="",,VLOOKUP(D39,D$22:D38,1,0))</f>
        <v>0</v>
      </c>
      <c r="F39" s="230">
        <f t="shared" si="1"/>
        <v>0</v>
      </c>
      <c r="G39" s="222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</c>
      <c r="H39" s="205" t="str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x</v>
      </c>
      <c r="I39" s="223">
        <f>IF(ISNUMBER(H39),IF(ISERROR(VLOOKUP($A39,'[1]liste reference'!$A$7:$P$892,3,0)),IF(ISERROR(VLOOKUP($A39,'[1]liste reference'!$B$7:$P$892,2,0)),"",VLOOKUP($A39,'[1]liste reference'!$B$7:$P$892,2,0)),VLOOKUP($A39,'[1]liste reference'!$A$7:$P$892,3,0)),"")</f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</c>
      <c r="K39" s="208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</c>
      <c r="L39" s="224"/>
      <c r="M39" s="224"/>
      <c r="N39" s="224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3"/>
      </c>
      <c r="R39" s="212">
        <f t="shared" si="4"/>
      </c>
      <c r="S39" s="212">
        <f t="shared" si="5"/>
        <v>0</v>
      </c>
      <c r="T39" s="212">
        <f t="shared" si="6"/>
        <v>0</v>
      </c>
      <c r="U39" s="225">
        <f t="shared" si="7"/>
        <v>0</v>
      </c>
      <c r="V39" s="213">
        <v>0</v>
      </c>
      <c r="W39" s="214" t="s">
        <v>54</v>
      </c>
      <c r="Y39" s="215">
        <f>IF(A39="new.cod","NEWCOD",IF(AND((Z39=""),ISTEXT(A39)),A39,IF(Z39="","",INDEX('[1]liste reference'!$A$7:$A$892,Z39))))</f>
      </c>
      <c r="Z39" s="8">
        <f>IF(ISERROR(MATCH(A39,'[1]liste reference'!$A$7:$A$892,0)),IF(ISERROR(MATCH(A39,'[1]liste reference'!$B$7:$B$892,0)),"",(MATCH(A39,'[1]liste reference'!$B$7:$B$892,0))),(MATCH(A39,'[1]liste reference'!$A$7:$A$892,0)))</f>
      </c>
      <c r="AA39" s="216"/>
      <c r="AB39" s="217"/>
      <c r="AC39" s="217"/>
      <c r="BC39" s="8">
        <f t="shared" si="8"/>
      </c>
    </row>
    <row r="40" spans="1:55" ht="12.75">
      <c r="A40" s="229" t="s">
        <v>54</v>
      </c>
      <c r="B40" s="218"/>
      <c r="C40" s="219"/>
      <c r="D40" s="220">
        <f>IF(ISERROR(VLOOKUP($A40,'[1]liste reference'!$A$7:$D$892,2,0)),IF(ISERROR(VLOOKUP($A40,'[1]liste reference'!$B$7:$D$892,1,0)),"",VLOOKUP($A40,'[1]liste reference'!$B$7:$D$892,1,0)),VLOOKUP($A40,'[1]liste reference'!$A$7:$D$892,2,0))</f>
      </c>
      <c r="E40" s="220">
        <f>IF(D40="",,VLOOKUP(D40,D$22:D39,1,0))</f>
        <v>0</v>
      </c>
      <c r="F40" s="230">
        <f t="shared" si="1"/>
        <v>0</v>
      </c>
      <c r="G40" s="222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</c>
      <c r="H40" s="205" t="str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x</v>
      </c>
      <c r="I40" s="223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</c>
      <c r="L40" s="224"/>
      <c r="M40" s="224"/>
      <c r="N40" s="224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3"/>
      </c>
      <c r="R40" s="212">
        <f t="shared" si="4"/>
      </c>
      <c r="S40" s="212">
        <f t="shared" si="5"/>
        <v>0</v>
      </c>
      <c r="T40" s="212">
        <f t="shared" si="6"/>
        <v>0</v>
      </c>
      <c r="U40" s="225">
        <f t="shared" si="7"/>
        <v>0</v>
      </c>
      <c r="V40" s="213">
        <v>0</v>
      </c>
      <c r="W40" s="214" t="s">
        <v>54</v>
      </c>
      <c r="Y40" s="215">
        <f>IF(A40="new.cod","NEWCOD",IF(AND((Z40=""),ISTEXT(A40)),A40,IF(Z40="","",INDEX('[1]liste reference'!$A$7:$A$892,Z40))))</f>
      </c>
      <c r="Z40" s="8">
        <f>IF(ISERROR(MATCH(A40,'[1]liste reference'!$A$7:$A$892,0)),IF(ISERROR(MATCH(A40,'[1]liste reference'!$B$7:$B$892,0)),"",(MATCH(A40,'[1]liste reference'!$B$7:$B$892,0))),(MATCH(A40,'[1]liste reference'!$A$7:$A$892,0)))</f>
      </c>
      <c r="AA40" s="216"/>
      <c r="AB40" s="217"/>
      <c r="AC40" s="217"/>
      <c r="BC40" s="8">
        <f t="shared" si="8"/>
      </c>
    </row>
    <row r="41" spans="1:55" ht="12.75">
      <c r="A41" s="229" t="s">
        <v>54</v>
      </c>
      <c r="B41" s="218"/>
      <c r="C41" s="219"/>
      <c r="D41" s="220">
        <f>IF(ISERROR(VLOOKUP($A41,'[1]liste reference'!$A$7:$D$892,2,0)),IF(ISERROR(VLOOKUP($A41,'[1]liste reference'!$B$7:$D$892,1,0)),"",VLOOKUP($A41,'[1]liste reference'!$B$7:$D$892,1,0)),VLOOKUP($A41,'[1]liste reference'!$A$7:$D$892,2,0))</f>
      </c>
      <c r="E41" s="220">
        <f>IF(D41="",,VLOOKUP(D41,D$22:D40,1,0))</f>
        <v>0</v>
      </c>
      <c r="F41" s="230">
        <f t="shared" si="1"/>
        <v>0</v>
      </c>
      <c r="G41" s="222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</c>
      <c r="H41" s="205" t="str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x</v>
      </c>
      <c r="I41" s="223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</c>
      <c r="L41" s="224"/>
      <c r="M41" s="224"/>
      <c r="N41" s="224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3"/>
      </c>
      <c r="R41" s="212">
        <f t="shared" si="4"/>
      </c>
      <c r="S41" s="212">
        <f t="shared" si="5"/>
        <v>0</v>
      </c>
      <c r="T41" s="212">
        <f t="shared" si="6"/>
        <v>0</v>
      </c>
      <c r="U41" s="225">
        <f t="shared" si="7"/>
        <v>0</v>
      </c>
      <c r="V41" s="213">
        <v>0</v>
      </c>
      <c r="W41" s="214" t="s">
        <v>54</v>
      </c>
      <c r="Y41" s="215">
        <f>IF(A41="new.cod","NEWCOD",IF(AND((Z41=""),ISTEXT(A41)),A41,IF(Z41="","",INDEX('[1]liste reference'!$A$7:$A$892,Z41))))</f>
      </c>
      <c r="Z41" s="8">
        <f>IF(ISERROR(MATCH(A41,'[1]liste reference'!$A$7:$A$892,0)),IF(ISERROR(MATCH(A41,'[1]liste reference'!$B$7:$B$892,0)),"",(MATCH(A41,'[1]liste reference'!$B$7:$B$892,0))),(MATCH(A41,'[1]liste reference'!$A$7:$A$892,0)))</f>
      </c>
      <c r="AA41" s="216"/>
      <c r="AB41" s="217"/>
      <c r="AC41" s="217"/>
      <c r="BC41" s="8">
        <f t="shared" si="8"/>
      </c>
    </row>
    <row r="42" spans="1:55" ht="12.75">
      <c r="A42" s="229" t="s">
        <v>54</v>
      </c>
      <c r="B42" s="218"/>
      <c r="C42" s="219"/>
      <c r="D42" s="220">
        <f>IF(ISERROR(VLOOKUP($A42,'[1]liste reference'!$A$7:$D$892,2,0)),IF(ISERROR(VLOOKUP($A42,'[1]liste reference'!$B$7:$D$892,1,0)),"",VLOOKUP($A42,'[1]liste reference'!$B$7:$D$892,1,0)),VLOOKUP($A42,'[1]liste reference'!$A$7:$D$892,2,0))</f>
      </c>
      <c r="E42" s="220">
        <f>IF(D42="",,VLOOKUP(D42,D$22:D41,1,0))</f>
        <v>0</v>
      </c>
      <c r="F42" s="230">
        <f t="shared" si="1"/>
        <v>0</v>
      </c>
      <c r="G42" s="222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</c>
      <c r="H42" s="205" t="str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x</v>
      </c>
      <c r="I42" s="223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</c>
      <c r="L42" s="224"/>
      <c r="M42" s="224"/>
      <c r="N42" s="224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3"/>
      </c>
      <c r="R42" s="212">
        <f t="shared" si="4"/>
      </c>
      <c r="S42" s="212">
        <f t="shared" si="5"/>
        <v>0</v>
      </c>
      <c r="T42" s="212">
        <f t="shared" si="6"/>
        <v>0</v>
      </c>
      <c r="U42" s="225">
        <f t="shared" si="7"/>
        <v>0</v>
      </c>
      <c r="V42" s="213">
        <v>0</v>
      </c>
      <c r="W42" s="214" t="s">
        <v>54</v>
      </c>
      <c r="Y42" s="215">
        <f>IF(A42="new.cod","NEWCOD",IF(AND((Z42=""),ISTEXT(A42)),A42,IF(Z42="","",INDEX('[1]liste reference'!$A$7:$A$892,Z42))))</f>
      </c>
      <c r="Z42" s="8">
        <f>IF(ISERROR(MATCH(A42,'[1]liste reference'!$A$7:$A$892,0)),IF(ISERROR(MATCH(A42,'[1]liste reference'!$B$7:$B$892,0)),"",(MATCH(A42,'[1]liste reference'!$B$7:$B$892,0))),(MATCH(A42,'[1]liste reference'!$A$7:$A$892,0)))</f>
      </c>
      <c r="AA42" s="216"/>
      <c r="AB42" s="217"/>
      <c r="AC42" s="217"/>
      <c r="BC42" s="8">
        <f t="shared" si="8"/>
      </c>
    </row>
    <row r="43" spans="1:55" ht="12.75">
      <c r="A43" s="229" t="s">
        <v>54</v>
      </c>
      <c r="B43" s="218"/>
      <c r="C43" s="219"/>
      <c r="D43" s="220">
        <f>IF(ISERROR(VLOOKUP($A43,'[1]liste reference'!$A$7:$D$892,2,0)),IF(ISERROR(VLOOKUP($A43,'[1]liste reference'!$B$7:$D$892,1,0)),"",VLOOKUP($A43,'[1]liste reference'!$B$7:$D$892,1,0)),VLOOKUP($A43,'[1]liste reference'!$A$7:$D$892,2,0))</f>
      </c>
      <c r="E43" s="220">
        <f>IF(D43="",,VLOOKUP(D43,D$22:D42,1,0))</f>
        <v>0</v>
      </c>
      <c r="F43" s="230">
        <f t="shared" si="1"/>
        <v>0</v>
      </c>
      <c r="G43" s="222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</c>
      <c r="H43" s="205" t="str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x</v>
      </c>
      <c r="I43" s="223">
        <f>IF(ISNUMBER(H43),IF(ISERROR(VLOOKUP($A43,'[1]liste reference'!$A$7:$P$892,3,0)),IF(ISERROR(VLOOKUP($A43,'[1]liste reference'!$B$7:$P$892,2,0)),"",VLOOKUP($A43,'[1]liste reference'!$B$7:$P$892,2,0)),VLOOKUP($A43,'[1]liste reference'!$A$7:$P$892,3,0)),"")</f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</c>
      <c r="K43" s="208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</c>
      <c r="L43" s="224"/>
      <c r="M43" s="224"/>
      <c r="N43" s="224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3"/>
      </c>
      <c r="R43" s="212">
        <f t="shared" si="4"/>
      </c>
      <c r="S43" s="212">
        <f t="shared" si="5"/>
        <v>0</v>
      </c>
      <c r="T43" s="212">
        <f t="shared" si="6"/>
        <v>0</v>
      </c>
      <c r="U43" s="225">
        <f t="shared" si="7"/>
        <v>0</v>
      </c>
      <c r="V43" s="213">
        <v>0</v>
      </c>
      <c r="W43" s="214" t="s">
        <v>54</v>
      </c>
      <c r="Y43" s="215">
        <f>IF(A43="new.cod","NEWCOD",IF(AND((Z43=""),ISTEXT(A43)),A43,IF(Z43="","",INDEX('[1]liste reference'!$A$7:$A$892,Z43))))</f>
      </c>
      <c r="Z43" s="8">
        <f>IF(ISERROR(MATCH(A43,'[1]liste reference'!$A$7:$A$892,0)),IF(ISERROR(MATCH(A43,'[1]liste reference'!$B$7:$B$892,0)),"",(MATCH(A43,'[1]liste reference'!$B$7:$B$892,0))),(MATCH(A43,'[1]liste reference'!$A$7:$A$892,0)))</f>
      </c>
      <c r="AA43" s="216"/>
      <c r="AB43" s="217"/>
      <c r="AC43" s="217"/>
      <c r="BC43" s="8">
        <f t="shared" si="8"/>
      </c>
    </row>
    <row r="44" spans="1:55" ht="12.75">
      <c r="A44" s="229" t="s">
        <v>54</v>
      </c>
      <c r="B44" s="218"/>
      <c r="C44" s="219"/>
      <c r="D44" s="220">
        <f>IF(ISERROR(VLOOKUP($A44,'[1]liste reference'!$A$7:$D$892,2,0)),IF(ISERROR(VLOOKUP($A44,'[1]liste reference'!$B$7:$D$892,1,0)),"",VLOOKUP($A44,'[1]liste reference'!$B$7:$D$892,1,0)),VLOOKUP($A44,'[1]liste reference'!$A$7:$D$892,2,0))</f>
      </c>
      <c r="E44" s="220">
        <f>IF(D44="",,VLOOKUP(D44,D$22:D43,1,0))</f>
        <v>0</v>
      </c>
      <c r="F44" s="230">
        <f t="shared" si="1"/>
        <v>0</v>
      </c>
      <c r="G44" s="222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</c>
      <c r="H44" s="205" t="str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x</v>
      </c>
      <c r="I44" s="223">
        <f>IF(ISNUMBER(H44),IF(ISERROR(VLOOKUP($A44,'[1]liste reference'!$A$7:$P$892,3,0)),IF(ISERROR(VLOOKUP($A44,'[1]liste reference'!$B$7:$P$892,2,0)),"",VLOOKUP($A44,'[1]liste reference'!$B$7:$P$892,2,0)),VLOOKUP($A44,'[1]liste reference'!$A$7:$P$892,3,0)),"")</f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</c>
      <c r="K44" s="208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</c>
      <c r="L44" s="224"/>
      <c r="M44" s="224"/>
      <c r="N44" s="224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3"/>
      </c>
      <c r="R44" s="212">
        <f t="shared" si="4"/>
      </c>
      <c r="S44" s="212">
        <f t="shared" si="5"/>
        <v>0</v>
      </c>
      <c r="T44" s="212">
        <f t="shared" si="6"/>
        <v>0</v>
      </c>
      <c r="U44" s="225">
        <f t="shared" si="7"/>
        <v>0</v>
      </c>
      <c r="V44" s="213">
        <v>0</v>
      </c>
      <c r="W44" s="214" t="s">
        <v>54</v>
      </c>
      <c r="Y44" s="215">
        <f>IF(A44="new.cod","NEWCOD",IF(AND((Z44=""),ISTEXT(A44)),A44,IF(Z44="","",INDEX('[1]liste reference'!$A$7:$A$892,Z44))))</f>
      </c>
      <c r="Z44" s="8">
        <f>IF(ISERROR(MATCH(A44,'[1]liste reference'!$A$7:$A$892,0)),IF(ISERROR(MATCH(A44,'[1]liste reference'!$B$7:$B$892,0)),"",(MATCH(A44,'[1]liste reference'!$B$7:$B$892,0))),(MATCH(A44,'[1]liste reference'!$A$7:$A$892,0)))</f>
      </c>
      <c r="AA44" s="216"/>
      <c r="AB44" s="217"/>
      <c r="AC44" s="217"/>
      <c r="BC44" s="8">
        <f t="shared" si="8"/>
      </c>
    </row>
    <row r="45" spans="1:55" ht="12.75">
      <c r="A45" s="229" t="s">
        <v>54</v>
      </c>
      <c r="B45" s="218"/>
      <c r="C45" s="219"/>
      <c r="D45" s="220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0">
        <f>IF(D45="",,VLOOKUP(D45,D$22:D44,1,0))</f>
        <v>0</v>
      </c>
      <c r="F45" s="230">
        <f t="shared" si="1"/>
        <v>0</v>
      </c>
      <c r="G45" s="222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3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</c>
      <c r="L45" s="224"/>
      <c r="M45" s="224"/>
      <c r="N45" s="224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5">
        <f t="shared" si="7"/>
        <v>0</v>
      </c>
      <c r="V45" s="213">
        <v>0</v>
      </c>
      <c r="W45" s="214" t="s">
        <v>54</v>
      </c>
      <c r="Y45" s="215">
        <f>IF(A45="new.cod","NEWCOD",IF(AND((Z45=""),ISTEXT(A45)),A45,IF(Z45="","",INDEX('[1]liste reference'!$A$7:$A$892,Z45))))</f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/>
      <c r="AC45" s="217"/>
      <c r="BC45" s="8">
        <f t="shared" si="8"/>
      </c>
    </row>
    <row r="46" spans="1:55" ht="12.75">
      <c r="A46" s="229" t="s">
        <v>54</v>
      </c>
      <c r="B46" s="218"/>
      <c r="C46" s="219"/>
      <c r="D46" s="220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0">
        <f>IF(D46="",,VLOOKUP(D46,D$22:D39,1,0))</f>
        <v>0</v>
      </c>
      <c r="F46" s="230">
        <f t="shared" si="1"/>
        <v>0</v>
      </c>
      <c r="G46" s="222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3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4"/>
      <c r="M46" s="224"/>
      <c r="N46" s="224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5">
        <f t="shared" si="7"/>
        <v>0</v>
      </c>
      <c r="V46" s="213">
        <v>0</v>
      </c>
      <c r="W46" s="214" t="s">
        <v>54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29" t="s">
        <v>54</v>
      </c>
      <c r="B47" s="218"/>
      <c r="C47" s="219"/>
      <c r="D47" s="220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0">
        <f>IF(D47="",,VLOOKUP(D47,D$22:D39,1,0))</f>
        <v>0</v>
      </c>
      <c r="F47" s="230">
        <f t="shared" si="1"/>
        <v>0</v>
      </c>
      <c r="G47" s="222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3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4"/>
      <c r="M47" s="224"/>
      <c r="N47" s="224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5">
        <f t="shared" si="7"/>
        <v>0</v>
      </c>
      <c r="V47" s="213">
        <v>0</v>
      </c>
      <c r="W47" s="214" t="s">
        <v>54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29" t="s">
        <v>54</v>
      </c>
      <c r="B48" s="218"/>
      <c r="C48" s="219"/>
      <c r="D48" s="220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0">
        <f>IF(D48="",,VLOOKUP(D48,D$22:D40,1,0))</f>
        <v>0</v>
      </c>
      <c r="F48" s="230">
        <f t="shared" si="1"/>
        <v>0</v>
      </c>
      <c r="G48" s="222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3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4"/>
      <c r="M48" s="224"/>
      <c r="N48" s="224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5">
        <f t="shared" si="7"/>
        <v>0</v>
      </c>
      <c r="V48" s="213">
        <v>0</v>
      </c>
      <c r="W48" s="214" t="s">
        <v>54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29" t="s">
        <v>54</v>
      </c>
      <c r="B49" s="218"/>
      <c r="C49" s="219"/>
      <c r="D49" s="220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0">
        <f>IF(D49="",,VLOOKUP(D49,D$22:D48,1,0))</f>
        <v>0</v>
      </c>
      <c r="F49" s="230">
        <f t="shared" si="1"/>
        <v>0</v>
      </c>
      <c r="G49" s="222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3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4"/>
      <c r="M49" s="224"/>
      <c r="N49" s="224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5">
        <f t="shared" si="7"/>
        <v>0</v>
      </c>
      <c r="V49" s="213">
        <v>0</v>
      </c>
      <c r="W49" s="214" t="s">
        <v>54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29" t="s">
        <v>54</v>
      </c>
      <c r="B50" s="218"/>
      <c r="C50" s="219"/>
      <c r="D50" s="220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0">
        <f>IF(D50="",,VLOOKUP(D50,D$22:D49,1,0))</f>
        <v>0</v>
      </c>
      <c r="F50" s="230">
        <f t="shared" si="1"/>
        <v>0</v>
      </c>
      <c r="G50" s="222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3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4"/>
      <c r="M50" s="224"/>
      <c r="N50" s="224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5">
        <f t="shared" si="7"/>
        <v>0</v>
      </c>
      <c r="V50" s="213">
        <v>0</v>
      </c>
      <c r="W50" s="214" t="s">
        <v>54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29" t="s">
        <v>54</v>
      </c>
      <c r="B51" s="218"/>
      <c r="C51" s="219"/>
      <c r="D51" s="220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0">
        <f>IF(D51="",,VLOOKUP(D51,D$22:D50,1,0))</f>
        <v>0</v>
      </c>
      <c r="F51" s="230">
        <f t="shared" si="1"/>
        <v>0</v>
      </c>
      <c r="G51" s="222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3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4"/>
      <c r="M51" s="224"/>
      <c r="N51" s="224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5">
        <f t="shared" si="7"/>
        <v>0</v>
      </c>
      <c r="V51" s="213">
        <v>0</v>
      </c>
      <c r="W51" s="214" t="s">
        <v>54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29" t="s">
        <v>54</v>
      </c>
      <c r="B52" s="218"/>
      <c r="C52" s="219"/>
      <c r="D52" s="220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0">
        <f>IF(D52="",,VLOOKUP(D52,D$22:D51,1,0))</f>
        <v>0</v>
      </c>
      <c r="F52" s="230">
        <f t="shared" si="1"/>
        <v>0</v>
      </c>
      <c r="G52" s="222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3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4"/>
      <c r="M52" s="224"/>
      <c r="N52" s="224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5">
        <f t="shared" si="7"/>
        <v>0</v>
      </c>
      <c r="V52" s="213">
        <v>0</v>
      </c>
      <c r="W52" s="214" t="s">
        <v>54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29" t="s">
        <v>54</v>
      </c>
      <c r="B53" s="218"/>
      <c r="C53" s="219"/>
      <c r="D53" s="220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0">
        <f>IF(D53="",,VLOOKUP(D53,D$22:D52,1,0))</f>
        <v>0</v>
      </c>
      <c r="F53" s="230">
        <f t="shared" si="1"/>
        <v>0</v>
      </c>
      <c r="G53" s="222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3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4"/>
      <c r="M53" s="224"/>
      <c r="N53" s="224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5">
        <f t="shared" si="7"/>
        <v>0</v>
      </c>
      <c r="V53" s="213">
        <v>0</v>
      </c>
      <c r="W53" s="214" t="s">
        <v>54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29" t="s">
        <v>54</v>
      </c>
      <c r="B54" s="218"/>
      <c r="C54" s="219"/>
      <c r="D54" s="220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0">
        <f>IF(D54="",,VLOOKUP(D54,D$22:D53,1,0))</f>
        <v>0</v>
      </c>
      <c r="F54" s="230">
        <f t="shared" si="1"/>
        <v>0</v>
      </c>
      <c r="G54" s="222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3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4"/>
      <c r="M54" s="224"/>
      <c r="N54" s="224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5">
        <f t="shared" si="7"/>
        <v>0</v>
      </c>
      <c r="V54" s="213">
        <v>0</v>
      </c>
      <c r="W54" s="214" t="s">
        <v>54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29" t="s">
        <v>54</v>
      </c>
      <c r="B55" s="218"/>
      <c r="C55" s="219"/>
      <c r="D55" s="220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0">
        <f>IF(D55="",,VLOOKUP(D55,D$22:D54,1,0))</f>
        <v>0</v>
      </c>
      <c r="F55" s="230">
        <f t="shared" si="1"/>
        <v>0</v>
      </c>
      <c r="G55" s="222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3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4"/>
      <c r="M55" s="224"/>
      <c r="N55" s="224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5">
        <f t="shared" si="7"/>
        <v>0</v>
      </c>
      <c r="V55" s="213">
        <v>0</v>
      </c>
      <c r="W55" s="214" t="s">
        <v>54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29" t="s">
        <v>54</v>
      </c>
      <c r="B56" s="218"/>
      <c r="C56" s="219"/>
      <c r="D56" s="220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0">
        <f>IF(D56="",,VLOOKUP(D56,D$22:D55,1,0))</f>
        <v>0</v>
      </c>
      <c r="F56" s="230">
        <f t="shared" si="1"/>
        <v>0</v>
      </c>
      <c r="G56" s="222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3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4"/>
      <c r="M56" s="224"/>
      <c r="N56" s="224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5">
        <f t="shared" si="7"/>
        <v>0</v>
      </c>
      <c r="V56" s="213">
        <v>0</v>
      </c>
      <c r="W56" s="214" t="s">
        <v>54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29" t="s">
        <v>54</v>
      </c>
      <c r="B57" s="218"/>
      <c r="C57" s="219"/>
      <c r="D57" s="220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0">
        <f>IF(D57="",,VLOOKUP(D57,D$21:D56,1,0))</f>
        <v>0</v>
      </c>
      <c r="F57" s="230">
        <f t="shared" si="1"/>
        <v>0</v>
      </c>
      <c r="G57" s="222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3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4"/>
      <c r="M57" s="224"/>
      <c r="N57" s="224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5">
        <f t="shared" si="7"/>
        <v>0</v>
      </c>
      <c r="V57" s="213">
        <v>0</v>
      </c>
      <c r="W57" s="214" t="s">
        <v>54</v>
      </c>
      <c r="X57" s="231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29" t="s">
        <v>54</v>
      </c>
      <c r="B58" s="218"/>
      <c r="C58" s="219"/>
      <c r="D58" s="220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0">
        <f>IF(D58="",,VLOOKUP(D58,D$22:D57,1,0))</f>
        <v>0</v>
      </c>
      <c r="F58" s="230">
        <f t="shared" si="1"/>
        <v>0</v>
      </c>
      <c r="G58" s="222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3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4"/>
      <c r="M58" s="224"/>
      <c r="N58" s="224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5">
        <f t="shared" si="7"/>
        <v>0</v>
      </c>
      <c r="V58" s="213">
        <v>0</v>
      </c>
      <c r="W58" s="214" t="s">
        <v>54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29" t="s">
        <v>54</v>
      </c>
      <c r="B59" s="218"/>
      <c r="C59" s="219"/>
      <c r="D59" s="220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0">
        <f>IF(D59="",,VLOOKUP(D59,D$22:D58,1,0))</f>
        <v>0</v>
      </c>
      <c r="F59" s="230">
        <f t="shared" si="1"/>
        <v>0</v>
      </c>
      <c r="G59" s="222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3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2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5">
        <f t="shared" si="7"/>
        <v>0</v>
      </c>
      <c r="V59" s="213">
        <v>0</v>
      </c>
      <c r="W59" s="214" t="s">
        <v>54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29" t="s">
        <v>54</v>
      </c>
      <c r="B60" s="218"/>
      <c r="C60" s="219"/>
      <c r="D60" s="220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0">
        <f>IF(D60="",,VLOOKUP(D60,D$22:D59,1,0))</f>
        <v>0</v>
      </c>
      <c r="F60" s="230">
        <f t="shared" si="1"/>
        <v>0</v>
      </c>
      <c r="G60" s="222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3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2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5">
        <f t="shared" si="7"/>
        <v>0</v>
      </c>
      <c r="V60" s="213">
        <v>0</v>
      </c>
      <c r="W60" s="214" t="s">
        <v>54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29" t="s">
        <v>54</v>
      </c>
      <c r="B61" s="218"/>
      <c r="C61" s="219"/>
      <c r="D61" s="220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0">
        <f>IF(D61="",,VLOOKUP(D61,D$22:D60,1,0))</f>
        <v>0</v>
      </c>
      <c r="F61" s="230">
        <f t="shared" si="1"/>
        <v>0</v>
      </c>
      <c r="G61" s="222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3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4"/>
      <c r="M61" s="224"/>
      <c r="N61" s="224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5">
        <f t="shared" si="7"/>
        <v>0</v>
      </c>
      <c r="V61" s="213">
        <v>0</v>
      </c>
      <c r="W61" s="214" t="s">
        <v>54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29" t="s">
        <v>54</v>
      </c>
      <c r="B62" s="218"/>
      <c r="C62" s="219"/>
      <c r="D62" s="220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0">
        <f>IF(D62="",,VLOOKUP(D62,D$22:D61,1,0))</f>
        <v>0</v>
      </c>
      <c r="F62" s="230">
        <f t="shared" si="1"/>
        <v>0</v>
      </c>
      <c r="G62" s="222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3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4"/>
      <c r="M62" s="224"/>
      <c r="N62" s="224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5">
        <f t="shared" si="7"/>
        <v>0</v>
      </c>
      <c r="V62" s="213">
        <v>0</v>
      </c>
      <c r="W62" s="214" t="s">
        <v>54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29" t="s">
        <v>54</v>
      </c>
      <c r="B63" s="218"/>
      <c r="C63" s="219"/>
      <c r="D63" s="220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0">
        <f>IF(D63="",,VLOOKUP(D63,D$22:D62,1,0))</f>
        <v>0</v>
      </c>
      <c r="F63" s="230">
        <f t="shared" si="1"/>
        <v>0</v>
      </c>
      <c r="G63" s="222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3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4"/>
      <c r="M63" s="224"/>
      <c r="N63" s="224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5">
        <f t="shared" si="7"/>
        <v>0</v>
      </c>
      <c r="V63" s="213">
        <v>0</v>
      </c>
      <c r="W63" s="214" t="s">
        <v>54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29" t="s">
        <v>54</v>
      </c>
      <c r="B64" s="218"/>
      <c r="C64" s="219"/>
      <c r="D64" s="220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0">
        <f>IF(D64="",,VLOOKUP(D64,D$22:D52,1,0))</f>
        <v>0</v>
      </c>
      <c r="F64" s="230">
        <f t="shared" si="1"/>
        <v>0</v>
      </c>
      <c r="G64" s="222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3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4"/>
      <c r="M64" s="224"/>
      <c r="N64" s="224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5">
        <f t="shared" si="7"/>
        <v>0</v>
      </c>
      <c r="V64" s="213">
        <v>0</v>
      </c>
      <c r="W64" s="214" t="s">
        <v>54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29" t="s">
        <v>54</v>
      </c>
      <c r="B65" s="218"/>
      <c r="C65" s="219"/>
      <c r="D65" s="220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0">
        <f>IF(D65="",,VLOOKUP(D65,D$22:D53,1,0))</f>
        <v>0</v>
      </c>
      <c r="F65" s="230">
        <f t="shared" si="1"/>
        <v>0</v>
      </c>
      <c r="G65" s="222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3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4"/>
      <c r="M65" s="224"/>
      <c r="N65" s="224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5">
        <f t="shared" si="7"/>
        <v>0</v>
      </c>
      <c r="V65" s="213">
        <v>0</v>
      </c>
      <c r="W65" s="214" t="s">
        <v>54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29" t="s">
        <v>54</v>
      </c>
      <c r="B66" s="218"/>
      <c r="C66" s="219"/>
      <c r="D66" s="220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0">
        <f>IF(D66="",,VLOOKUP(D66,D$22:D51,1,0))</f>
        <v>0</v>
      </c>
      <c r="F66" s="230">
        <f t="shared" si="1"/>
        <v>0</v>
      </c>
      <c r="G66" s="222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3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4"/>
      <c r="M66" s="224"/>
      <c r="N66" s="224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5">
        <f t="shared" si="7"/>
        <v>0</v>
      </c>
      <c r="V66" s="213">
        <v>0</v>
      </c>
      <c r="W66" s="214" t="s">
        <v>54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29"/>
      <c r="B67" s="218"/>
      <c r="C67" s="219"/>
      <c r="D67" s="220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0">
        <f>IF(D67="",,VLOOKUP(D67,D$22:D52,1,0))</f>
        <v>0</v>
      </c>
      <c r="F67" s="230">
        <f t="shared" si="1"/>
        <v>0</v>
      </c>
      <c r="G67" s="222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3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4"/>
      <c r="M67" s="224"/>
      <c r="N67" s="224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5">
        <f t="shared" si="7"/>
        <v>0</v>
      </c>
      <c r="V67" s="213">
        <v>0</v>
      </c>
      <c r="W67" s="214" t="s">
        <v>54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29"/>
      <c r="B68" s="218"/>
      <c r="C68" s="219"/>
      <c r="D68" s="220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0">
        <f>IF(D68="",,VLOOKUP(D68,D$22:D53,1,0))</f>
        <v>0</v>
      </c>
      <c r="F68" s="230">
        <f t="shared" si="1"/>
        <v>0</v>
      </c>
      <c r="G68" s="222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3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4"/>
      <c r="M68" s="224"/>
      <c r="N68" s="224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5">
        <f t="shared" si="7"/>
        <v>0</v>
      </c>
      <c r="V68" s="213">
        <v>0</v>
      </c>
      <c r="W68" s="214" t="s">
        <v>54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29" t="s">
        <v>54</v>
      </c>
      <c r="B69" s="218"/>
      <c r="C69" s="219"/>
      <c r="D69" s="220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0">
        <f>IF(D69="",,VLOOKUP(D69,D$22:D54,1,0))</f>
        <v>0</v>
      </c>
      <c r="F69" s="230">
        <f t="shared" si="1"/>
        <v>0</v>
      </c>
      <c r="G69" s="222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3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4"/>
      <c r="M69" s="224"/>
      <c r="N69" s="224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5">
        <f t="shared" si="7"/>
        <v>0</v>
      </c>
      <c r="V69" s="213">
        <v>0</v>
      </c>
      <c r="W69" s="214" t="s">
        <v>54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29" t="s">
        <v>54</v>
      </c>
      <c r="B70" s="218"/>
      <c r="C70" s="219"/>
      <c r="D70" s="220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0">
        <f>IF(D70="",,VLOOKUP(D70,D$22:D55,1,0))</f>
        <v>0</v>
      </c>
      <c r="F70" s="230">
        <f t="shared" si="1"/>
        <v>0</v>
      </c>
      <c r="G70" s="222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3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4"/>
      <c r="M70" s="224"/>
      <c r="N70" s="224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5">
        <f t="shared" si="7"/>
        <v>0</v>
      </c>
      <c r="V70" s="213">
        <v>0</v>
      </c>
      <c r="W70" s="214" t="s">
        <v>54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29" t="s">
        <v>54</v>
      </c>
      <c r="B71" s="218"/>
      <c r="C71" s="219"/>
      <c r="D71" s="220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0">
        <f>IF(D71="",,VLOOKUP(D71,D$22:D56,1,0))</f>
        <v>0</v>
      </c>
      <c r="F71" s="230">
        <f t="shared" si="1"/>
        <v>0</v>
      </c>
      <c r="G71" s="222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3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4"/>
      <c r="M71" s="224"/>
      <c r="N71" s="224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5">
        <f t="shared" si="7"/>
        <v>0</v>
      </c>
      <c r="V71" s="213">
        <v>0</v>
      </c>
      <c r="W71" s="214" t="s">
        <v>54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29" t="s">
        <v>54</v>
      </c>
      <c r="B72" s="218"/>
      <c r="C72" s="219"/>
      <c r="D72" s="220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0">
        <f>IF(D72="",,VLOOKUP(D72,D$22:D57,1,0))</f>
        <v>0</v>
      </c>
      <c r="F72" s="230">
        <f t="shared" si="1"/>
        <v>0</v>
      </c>
      <c r="G72" s="222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3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4"/>
      <c r="M72" s="224"/>
      <c r="N72" s="224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5">
        <f t="shared" si="7"/>
        <v>0</v>
      </c>
      <c r="V72" s="213">
        <v>0</v>
      </c>
      <c r="W72" s="214" t="s">
        <v>54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29" t="s">
        <v>54</v>
      </c>
      <c r="B73" s="218"/>
      <c r="C73" s="219"/>
      <c r="D73" s="220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0">
        <f>IF(D73="",,VLOOKUP(D73,D$22:D57,1,0))</f>
        <v>0</v>
      </c>
      <c r="F73" s="230">
        <f t="shared" si="1"/>
        <v>0</v>
      </c>
      <c r="G73" s="222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3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4"/>
      <c r="M73" s="224"/>
      <c r="N73" s="224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5">
        <f t="shared" si="7"/>
        <v>0</v>
      </c>
      <c r="V73" s="213">
        <v>0</v>
      </c>
      <c r="W73" s="214" t="s">
        <v>54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29" t="s">
        <v>54</v>
      </c>
      <c r="B74" s="218"/>
      <c r="C74" s="219"/>
      <c r="D74" s="220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0">
        <f>IF(D74="",,VLOOKUP(D74,D$22:D58,1,0))</f>
        <v>0</v>
      </c>
      <c r="F74" s="230">
        <f t="shared" si="1"/>
        <v>0</v>
      </c>
      <c r="G74" s="222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3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4"/>
      <c r="M74" s="224"/>
      <c r="N74" s="224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5">
        <f t="shared" si="7"/>
        <v>0</v>
      </c>
      <c r="V74" s="213">
        <v>0</v>
      </c>
      <c r="W74" s="214" t="s">
        <v>54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29"/>
      <c r="B75" s="218"/>
      <c r="C75" s="219"/>
      <c r="D75" s="220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0">
        <f>IF(D75="",,VLOOKUP(D75,D$22:D59,1,0))</f>
        <v>0</v>
      </c>
      <c r="F75" s="230">
        <f t="shared" si="1"/>
        <v>0</v>
      </c>
      <c r="G75" s="222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3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4"/>
      <c r="M75" s="224"/>
      <c r="N75" s="224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5">
        <f t="shared" si="7"/>
        <v>0</v>
      </c>
      <c r="V75" s="213">
        <v>0</v>
      </c>
      <c r="W75" s="214" t="s">
        <v>54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29" t="s">
        <v>54</v>
      </c>
      <c r="B76" s="218"/>
      <c r="C76" s="219"/>
      <c r="D76" s="220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0">
        <f>IF(D76="",,VLOOKUP(D76,D$22:D59,1,0))</f>
        <v>0</v>
      </c>
      <c r="F76" s="230">
        <f t="shared" si="1"/>
        <v>0</v>
      </c>
      <c r="G76" s="222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3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4"/>
      <c r="M76" s="224"/>
      <c r="N76" s="224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5">
        <f t="shared" si="7"/>
        <v>0</v>
      </c>
      <c r="V76" s="213">
        <v>0</v>
      </c>
      <c r="W76" s="214" t="s">
        <v>54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29" t="s">
        <v>54</v>
      </c>
      <c r="B77" s="218"/>
      <c r="C77" s="219"/>
      <c r="D77" s="220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0">
        <f>IF(D77="",,VLOOKUP(D77,D$22:D75,1,0))</f>
        <v>0</v>
      </c>
      <c r="F77" s="230">
        <f t="shared" si="1"/>
        <v>0</v>
      </c>
      <c r="G77" s="222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3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4"/>
      <c r="M77" s="224"/>
      <c r="N77" s="224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5">
        <f t="shared" si="7"/>
        <v>0</v>
      </c>
      <c r="V77" s="213">
        <v>0</v>
      </c>
      <c r="W77" s="214" t="s">
        <v>54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29" t="s">
        <v>54</v>
      </c>
      <c r="B78" s="218"/>
      <c r="C78" s="219"/>
      <c r="D78" s="220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0">
        <f>IF(D78="",,VLOOKUP(D78,D$22:D75,1,0))</f>
        <v>0</v>
      </c>
      <c r="F78" s="230">
        <f t="shared" si="1"/>
        <v>0</v>
      </c>
      <c r="G78" s="222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3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4"/>
      <c r="M78" s="224"/>
      <c r="N78" s="224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5">
        <f t="shared" si="7"/>
        <v>0</v>
      </c>
      <c r="V78" s="213">
        <v>0</v>
      </c>
      <c r="W78" s="214" t="s">
        <v>54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29" t="s">
        <v>54</v>
      </c>
      <c r="B79" s="218"/>
      <c r="C79" s="219"/>
      <c r="D79" s="220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0">
        <f>IF(D79="",,VLOOKUP(D79,D$22:D75,1,0))</f>
        <v>0</v>
      </c>
      <c r="F79" s="230">
        <f t="shared" si="1"/>
        <v>0</v>
      </c>
      <c r="G79" s="222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3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4"/>
      <c r="M79" s="224"/>
      <c r="N79" s="224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5">
        <f t="shared" si="7"/>
        <v>0</v>
      </c>
      <c r="V79" s="213">
        <v>0</v>
      </c>
      <c r="W79" s="214" t="s">
        <v>54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29"/>
      <c r="B80" s="218"/>
      <c r="C80" s="219"/>
      <c r="D80" s="220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0">
        <f>IF(D80="",,VLOOKUP(D80,D$22:D79,1,0))</f>
        <v>0</v>
      </c>
      <c r="F80" s="230">
        <f t="shared" si="1"/>
        <v>0</v>
      </c>
      <c r="G80" s="222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3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4"/>
      <c r="M80" s="224"/>
      <c r="N80" s="224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5">
        <f t="shared" si="7"/>
        <v>0</v>
      </c>
      <c r="V80" s="213">
        <v>0</v>
      </c>
      <c r="W80" s="214" t="s">
        <v>54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29"/>
      <c r="B81" s="218"/>
      <c r="C81" s="219"/>
      <c r="D81" s="220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0">
        <f>IF(D81="",,VLOOKUP(D81,D$21:D80,1,0))</f>
        <v>0</v>
      </c>
      <c r="F81" s="230">
        <f t="shared" si="1"/>
        <v>0</v>
      </c>
      <c r="G81" s="222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3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5">
        <f t="shared" si="7"/>
        <v>0</v>
      </c>
      <c r="V81" s="213">
        <v>0</v>
      </c>
      <c r="W81" s="214" t="s">
        <v>54</v>
      </c>
      <c r="X81" s="233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4"/>
      <c r="B82" s="235"/>
      <c r="C82" s="236"/>
      <c r="D82" s="237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7">
        <f>IF(D82="",,VLOOKUP(D82,D$20:D80,1,0))</f>
        <v>0</v>
      </c>
      <c r="F82" s="238">
        <f t="shared" si="1"/>
        <v>0</v>
      </c>
      <c r="G82" s="239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40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40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41"/>
      <c r="M82" s="241"/>
      <c r="N82" s="241"/>
      <c r="O82" s="210">
        <f t="shared" si="2"/>
      </c>
      <c r="P82" s="242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5">
        <f t="shared" si="7"/>
        <v>0</v>
      </c>
      <c r="V82" s="213">
        <v>0</v>
      </c>
      <c r="W82" s="243" t="s">
        <v>54</v>
      </c>
      <c r="X82" s="244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5" t="s">
        <v>92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6"/>
      <c r="P83" s="246"/>
      <c r="Q83" s="246"/>
      <c r="R83" s="246"/>
      <c r="S83" s="246"/>
      <c r="T83" s="8"/>
      <c r="U83" s="8"/>
      <c r="V83" s="246"/>
      <c r="W83" s="246"/>
      <c r="X83" s="246"/>
      <c r="Y83" s="264"/>
      <c r="Z83" s="264"/>
      <c r="AA83" s="247"/>
      <c r="AB83" s="248"/>
      <c r="AC83" s="248"/>
      <c r="AD83" s="248"/>
    </row>
    <row r="84" spans="1:30" ht="12.75" hidden="1">
      <c r="A84" s="249" t="str">
        <f>A3</f>
        <v>Cheran</v>
      </c>
      <c r="B84" s="250" t="str">
        <f>C3</f>
        <v>Cheran a Jarsy</v>
      </c>
      <c r="C84" s="251">
        <f>A4</f>
        <v>41122</v>
      </c>
      <c r="D84" s="252">
        <f>IF(ISERROR(SUM($T$23:$T$82)/SUM($U$23:$U$82)),"",SUM($T$23:$T$82)/SUM($U$23:$U$82))</f>
        <v>13.194444444444445</v>
      </c>
      <c r="E84" s="253">
        <f>N13</f>
        <v>12</v>
      </c>
      <c r="F84" s="250">
        <f>N14</f>
        <v>9</v>
      </c>
      <c r="G84" s="250">
        <f>N15</f>
        <v>1</v>
      </c>
      <c r="H84" s="250">
        <f>N16</f>
        <v>7</v>
      </c>
      <c r="I84" s="250">
        <f>N17</f>
        <v>1</v>
      </c>
      <c r="J84" s="254">
        <f>N8</f>
        <v>12.555555555555555</v>
      </c>
      <c r="K84" s="252">
        <f>N9</f>
        <v>4.558264777059113</v>
      </c>
      <c r="L84" s="253">
        <f>N10</f>
        <v>5</v>
      </c>
      <c r="M84" s="253">
        <f>N11</f>
        <v>19</v>
      </c>
      <c r="N84" s="252">
        <f>O8</f>
        <v>2</v>
      </c>
      <c r="O84" s="252">
        <f>O9</f>
        <v>0.5</v>
      </c>
      <c r="P84" s="253">
        <f>O10</f>
        <v>1</v>
      </c>
      <c r="Q84" s="253">
        <f>O11</f>
        <v>3</v>
      </c>
      <c r="R84" s="253">
        <f>F21</f>
        <v>36.690000000000005</v>
      </c>
      <c r="S84" s="253">
        <f>K11</f>
        <v>0</v>
      </c>
      <c r="T84" s="253">
        <f>K12</f>
        <v>6</v>
      </c>
      <c r="U84" s="253">
        <f>K13</f>
        <v>5</v>
      </c>
      <c r="V84" s="255">
        <f>K14</f>
        <v>0</v>
      </c>
      <c r="W84" s="256">
        <f>K15</f>
        <v>0</v>
      </c>
      <c r="Z84" s="257"/>
      <c r="AA84" s="257"/>
      <c r="AB84" s="248"/>
      <c r="AC84" s="248"/>
      <c r="AD84" s="248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8" t="s">
        <v>93</v>
      </c>
      <c r="R86" s="8"/>
      <c r="S86" s="213"/>
      <c r="T86" s="8"/>
      <c r="U86" s="8"/>
      <c r="V86" s="8"/>
    </row>
    <row r="87" spans="16:22" ht="12.75" hidden="1">
      <c r="P87" s="8"/>
      <c r="Q87" s="8" t="s">
        <v>94</v>
      </c>
      <c r="R87" s="8"/>
      <c r="S87" s="21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95</v>
      </c>
      <c r="R88" s="8"/>
      <c r="S88" s="213">
        <f>VLOOKUP((S87),($S$23:$U$82),2,0)</f>
        <v>96</v>
      </c>
      <c r="T88" s="8"/>
      <c r="U88" s="8"/>
      <c r="V88" s="8"/>
    </row>
    <row r="89" spans="17:20" ht="12.75">
      <c r="Q89" s="8" t="s">
        <v>96</v>
      </c>
      <c r="R89" s="8"/>
      <c r="S89" s="213">
        <f>VLOOKUP((S87),($S$23:$U$82),3,0)</f>
        <v>6</v>
      </c>
      <c r="T89" s="8"/>
    </row>
    <row r="90" spans="17:20" ht="12.75">
      <c r="Q90" s="8" t="s">
        <v>97</v>
      </c>
      <c r="R90" s="8"/>
      <c r="S90" s="259">
        <f>IF(ISERROR(SUM($T$23:$T$82)/SUM($U$23:$U$82)),"",(SUM($T$23:$T$82)-S88)/(SUM($U$23:$U$82)-S89))</f>
        <v>12.633333333333333</v>
      </c>
      <c r="T90" s="8"/>
    </row>
    <row r="91" spans="17:21" ht="12.75">
      <c r="Q91" s="212" t="s">
        <v>98</v>
      </c>
      <c r="R91" s="212"/>
      <c r="S91" s="212" t="str">
        <f>INDEX('[1]liste reference'!$A$7:$A$892,$T$91)</f>
        <v>HYUSPX</v>
      </c>
      <c r="T91" s="8">
        <f>IF(ISERROR(MATCH($S$93,'[1]liste reference'!$A$7:$A$892,0)),MATCH($S$93,'[1]liste reference'!$B$7:$B$892,0),(MATCH($S$93,'[1]liste reference'!$A$7:$A$892,0)))</f>
        <v>358</v>
      </c>
      <c r="U91" s="248"/>
    </row>
    <row r="92" spans="17:20" ht="12.75">
      <c r="Q92" s="8" t="s">
        <v>99</v>
      </c>
      <c r="R92" s="8"/>
      <c r="S92" s="8">
        <f>MATCH(S87,$S$23:$S$82,0)</f>
        <v>3</v>
      </c>
      <c r="T92" s="8"/>
    </row>
    <row r="93" spans="17:20" ht="12.75">
      <c r="Q93" s="212" t="s">
        <v>100</v>
      </c>
      <c r="R93" s="8"/>
      <c r="S93" s="212" t="str">
        <f>INDEX($A$23:$A$82,$S$92)</f>
        <v>HYUSPX</v>
      </c>
      <c r="T93" s="8"/>
    </row>
    <row r="94" ht="12.75">
      <c r="S94" s="248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34:A82">
    <cfRule type="expression" priority="1" dxfId="0" stopIfTrue="1">
      <formula>ISTEXT($E34)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2013-03-19T08:39:37Z</dcterms:created>
  <dcterms:modified xsi:type="dcterms:W3CDTF">2013-10-03T11:49:25Z</dcterms:modified>
  <cp:category/>
  <cp:version/>
  <cp:contentType/>
  <cp:contentStatus/>
</cp:coreProperties>
</file>