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<sst xmlns="http://schemas.openxmlformats.org/spreadsheetml/2006/main" count="220" uniqueCount="101">
  <si>
    <t>Relevés floristiques aquatiques - IBMR</t>
  </si>
  <si>
    <t xml:space="preserve">Formulaire modèle GIS Macrophytes v 3.1.1 - janvier 2013  </t>
  </si>
  <si>
    <t>SAGE</t>
  </si>
  <si>
    <t>CBERNARD SRENAHY</t>
  </si>
  <si>
    <t>conforme AFNOR T90-395 oct. 2003</t>
  </si>
  <si>
    <t>CHERAN</t>
  </si>
  <si>
    <t>CHERAN A JARSY</t>
  </si>
  <si>
    <t>06070400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</si>
  <si>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</si>
  <si>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</si>
  <si>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</si>
  <si>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</si>
  <si>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</si>
  <si>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</si>
  <si>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</si>
  <si>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</si>
  <si>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HYUSPX</t>
  </si>
  <si>
    <t>Faciès dominant</t>
  </si>
  <si>
    <t>rapide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</si>
  <si>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</si>
  <si>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</si>
  <si>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</si>
  <si>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</si>
  <si>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</si>
  <si>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</si>
  <si>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</si>
  <si>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</si>
  <si>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</si>
  <si>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</si>
  <si>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</si>
  <si>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</si>
  <si>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</si>
  <si>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</si>
  <si>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</si>
  <si>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</si>
  <si>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</si>
  <si>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</si>
  <si>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</si>
  <si>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</si>
  <si>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</si>
  <si>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</si>
  <si>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</si>
  <si>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</si>
  <si>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</si>
  <si>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</si>
  <si>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</si>
  <si>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</si>
  <si>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</si>
  <si>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</si>
  <si>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</si>
  <si>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</si>
  <si>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</si>
  <si>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</si>
  <si>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</si>
  <si>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</si>
  <si>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</si>
  <si>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</si>
  <si>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</si>
  <si>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</si>
  <si>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</si>
  <si>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</si>
  <si>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</si>
  <si>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</si>
  <si>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</si>
  <si>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</si>
  <si>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</si>
  <si>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</si>
  <si>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</si>
  <si>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</si>
  <si>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</si>
  <si>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</si>
  <si>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</si>
  <si>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</si>
  <si>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</si>
  <si>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</si>
  <si>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</si>
  <si>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</si>
  <si>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</si>
  <si>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</si>
  <si>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</si>
  <si>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LEASPX</t>
  </si>
  <si>
    <t>MICSPX</t>
  </si>
  <si>
    <t>PHOSPX</t>
  </si>
  <si>
    <t>TETSPX</t>
  </si>
  <si>
    <t>ULOSPX</t>
  </si>
  <si>
    <t>CINAQU</t>
  </si>
  <si>
    <t>CRAFIL</t>
  </si>
  <si>
    <t>HYGLUR</t>
  </si>
  <si>
    <t>RHYRIP</t>
  </si>
  <si>
    <t>newcod</t>
  </si>
  <si>
    <t>Encyonema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</si>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</sst>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6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7" borderId="39" xfId="0" applyFont="1" applyFill="1" applyBorder="1" applyAlignment="1" applyProtection="1">
      <alignment horizontal="center" vertical="top"/>
      <protection hidden="1"/>
    </xf>
    <xf numFmtId="0" fontId="34" fillId="25" borderId="26" xfId="0" applyFont="1" applyFill="1" applyBorder="1" applyAlignment="1" applyProtection="1">
      <alignment horizontal="center" vertical="top"/>
      <protection hidden="1"/>
    </xf>
    <xf numFmtId="0" fontId="35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7" fillId="4" borderId="40" xfId="0" applyFont="1" applyFill="1" applyBorder="1" applyAlignment="1" applyProtection="1">
      <alignment horizontal="left" vertical="top"/>
      <protection hidden="1"/>
    </xf>
    <xf numFmtId="0" fontId="38" fillId="4" borderId="22" xfId="0" applyFont="1" applyFill="1" applyBorder="1" applyAlignment="1" applyProtection="1">
      <alignment horizontal="left" vertical="top"/>
      <protection hidden="1"/>
    </xf>
    <xf numFmtId="0" fontId="38" fillId="4" borderId="41" xfId="0" applyFont="1" applyFill="1" applyBorder="1" applyAlignment="1" applyProtection="1">
      <alignment horizontal="left" vertical="top"/>
      <protection hidden="1"/>
    </xf>
    <xf numFmtId="0" fontId="38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9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0" fillId="20" borderId="11" xfId="0" applyNumberFormat="1" applyFont="1" applyFill="1" applyBorder="1" applyAlignment="1" applyProtection="1">
      <alignment horizontal="right"/>
      <protection hidden="1"/>
    </xf>
    <xf numFmtId="177" fontId="40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1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7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8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3" fillId="17" borderId="3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22" xfId="0" applyFont="1" applyFill="1" applyBorder="1" applyAlignment="1" applyProtection="1">
      <alignment/>
      <protection hidden="1"/>
    </xf>
    <xf numFmtId="0" fontId="45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7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6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4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47" fillId="20" borderId="79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4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6" fillId="17" borderId="80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6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1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6" fillId="17" borderId="11" xfId="0" applyNumberFormat="1" applyFont="1" applyFill="1" applyBorder="1" applyAlignment="1" applyProtection="1">
      <alignment horizontal="center"/>
      <protection hidden="1"/>
    </xf>
    <xf numFmtId="0" fontId="0" fillId="20" borderId="83" xfId="0" applyFill="1" applyBorder="1" applyAlignment="1" applyProtection="1">
      <alignment/>
      <protection hidden="1"/>
    </xf>
    <xf numFmtId="0" fontId="0" fillId="20" borderId="83" xfId="0" applyFill="1" applyBorder="1" applyAlignment="1">
      <alignment/>
    </xf>
    <xf numFmtId="0" fontId="44" fillId="20" borderId="81" xfId="0" applyFont="1" applyFill="1" applyBorder="1" applyAlignment="1" applyProtection="1">
      <alignment horizontal="right"/>
      <protection hidden="1"/>
    </xf>
    <xf numFmtId="0" fontId="44" fillId="20" borderId="81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679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82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CHEJAR_10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L41" sqref="L4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41465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14</v>
      </c>
      <c r="M5" s="53"/>
      <c r="N5" s="54" t="s">
        <v>16</v>
      </c>
      <c r="O5" s="55">
        <v>13.7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95</v>
      </c>
      <c r="C7" s="67">
        <v>5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13.333333333333334</v>
      </c>
      <c r="O8" s="85">
        <f>IF(ISERROR(AVERAGE(J23:J82)),"      -",AVERAGE(J23:J82))</f>
        <v>1.8333333333333333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27.8</v>
      </c>
      <c r="C9" s="88">
        <v>47.5</v>
      </c>
      <c r="D9" s="89"/>
      <c r="E9" s="89"/>
      <c r="F9" s="90">
        <f>($B9*$B$7+$C9*$C$7)/100</f>
        <v>28.785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3.39934634239519</v>
      </c>
      <c r="O9" s="85">
        <f>IF(ISERROR(STDEVP(J23:J82)),"      -",STDEVP(J23:J82))</f>
        <v>0.6871842709362768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6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19</v>
      </c>
      <c r="O11" s="107">
        <f>MAX(J23:J82)</f>
        <v>3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21.2</v>
      </c>
      <c r="C12" s="121">
        <v>47</v>
      </c>
      <c r="D12" s="112"/>
      <c r="E12" s="112"/>
      <c r="F12" s="113">
        <f>($B12*$B$7+$C12*$C$7)/100</f>
        <v>22.49</v>
      </c>
      <c r="G12" s="122"/>
      <c r="H12" s="68"/>
      <c r="I12" s="123" t="s">
        <v>39</v>
      </c>
      <c r="J12" s="124"/>
      <c r="K12" s="117">
        <f>COUNTIF($G$23:$G$82,"=ALG")</f>
        <v>8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>
        <v>6.6</v>
      </c>
      <c r="C13" s="121">
        <v>0.5</v>
      </c>
      <c r="D13" s="112"/>
      <c r="E13" s="112"/>
      <c r="F13" s="113">
        <f>($B13*$B$7+$C13*$C$7)/100</f>
        <v>6.295</v>
      </c>
      <c r="G13" s="122"/>
      <c r="H13" s="68"/>
      <c r="I13" s="130" t="s">
        <v>41</v>
      </c>
      <c r="J13" s="124"/>
      <c r="K13" s="117">
        <f>COUNTIF($G$23:$G$82,"=BRm")+COUNTIF($G$23:$G$82,"=BRh")</f>
        <v>4</v>
      </c>
      <c r="L13" s="118"/>
      <c r="M13" s="131" t="s">
        <v>42</v>
      </c>
      <c r="N13" s="132">
        <f>COUNTIF(F23:F82,"&gt;0")</f>
        <v>13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44</v>
      </c>
      <c r="J14" s="124"/>
      <c r="K14" s="117">
        <f>COUNTIF($G$23:$G$82,"=PTE")+COUNTIF($G$23:$G$82,"=LIC")</f>
        <v>0</v>
      </c>
      <c r="L14" s="118"/>
      <c r="M14" s="135" t="s">
        <v>45</v>
      </c>
      <c r="N14" s="136">
        <f>COUNTIF($I$23:$I$82,"&gt;-1")</f>
        <v>12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/>
      <c r="C15" s="140"/>
      <c r="D15" s="112"/>
      <c r="E15" s="112"/>
      <c r="F15" s="113">
        <f>($B15*$B$7+$C15*$C$7)/100</f>
        <v>0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0</v>
      </c>
      <c r="L15" s="118"/>
      <c r="M15" s="141" t="s">
        <v>48</v>
      </c>
      <c r="N15" s="142">
        <f>COUNTIF(J23:J82,"=1")</f>
        <v>4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6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27.8</v>
      </c>
      <c r="C17" s="121">
        <v>47.5</v>
      </c>
      <c r="D17" s="112"/>
      <c r="E17" s="112"/>
      <c r="F17" s="148"/>
      <c r="G17" s="113">
        <f>($B17*$B$7+$C17*$C$7)/100</f>
        <v>28.785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2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2"/>
      <c r="E18" s="152" t="s">
        <v>54</v>
      </c>
      <c r="F18" s="148"/>
      <c r="G18" s="113">
        <f>($B18*$B$7+$C18*$C$7)/100</f>
        <v>0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28.784999999999997</v>
      </c>
      <c r="G19" s="161">
        <f>SUM(G16:G18)</f>
        <v>28.785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100</v>
      </c>
      <c r="B20" s="170">
        <f>SUM(B23:B82)</f>
        <v>27.810000000000002</v>
      </c>
      <c r="C20" s="171">
        <f>SUM(C23:C82)</f>
        <v>47.62</v>
      </c>
      <c r="D20" s="172"/>
      <c r="E20" s="173" t="s">
        <v>54</v>
      </c>
      <c r="F20" s="174">
        <f>($B20*$B$7+$C20*$C$7)/100</f>
        <v>28.800500000000003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26.419500000000003</v>
      </c>
      <c r="C21" s="184">
        <f>C20*C7/100</f>
        <v>2.381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28.800500000000003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5</v>
      </c>
      <c r="C23" s="212">
        <v>3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54">($B23*$B$7+$C23*$C$7)/100</f>
        <v>4.9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54">IF(ISTEXT(H23),"",(B23*$B$7/100)+(C23*$C$7/100))</f>
        <v>4.9</v>
      </c>
      <c r="R23" s="222">
        <f aca="true" t="shared" si="2" ref="R23:R54">IF(OR(ISTEXT(H23),Q23=0),"",IF(Q23&lt;0.1,1,IF(Q23&lt;1,2,IF(Q23&lt;10,3,IF(Q23&lt;50,4,IF(Q23&gt;=50,5,""))))))</f>
        <v>3</v>
      </c>
      <c r="S23" s="222">
        <f aca="true" t="shared" si="3" ref="S23:S54">IF(ISERROR(R23*I23),0,R23*I23)</f>
        <v>18</v>
      </c>
      <c r="T23" s="222">
        <f aca="true" t="shared" si="4" ref="T23:T54">IF(ISERROR(R23*I23*J23),0,R23*I23*J23)</f>
        <v>18</v>
      </c>
      <c r="U23" s="222">
        <f aca="true" t="shared" si="5" ref="U23:U54">IF(ISERROR(R23*J23),0,R23*J23)</f>
        <v>3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79</v>
      </c>
      <c r="B24" s="229">
        <v>0</v>
      </c>
      <c r="C24" s="230">
        <v>38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1.9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1.9</v>
      </c>
      <c r="R24" s="222">
        <f t="shared" si="2"/>
        <v>3</v>
      </c>
      <c r="S24" s="222">
        <f t="shared" si="3"/>
        <v>36</v>
      </c>
      <c r="T24" s="222">
        <f t="shared" si="4"/>
        <v>72</v>
      </c>
      <c r="U24" s="234">
        <f t="shared" si="5"/>
        <v>6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16</v>
      </c>
      <c r="B25" s="229">
        <v>5</v>
      </c>
      <c r="C25" s="230">
        <v>0.1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Hydrurus sp.</v>
      </c>
      <c r="E25" s="231" t="e">
        <f>IF(D25="",,VLOOKUP(D25,D$22:D24,1,0))</f>
        <v>#N/A</v>
      </c>
      <c r="F25" s="232">
        <f t="shared" si="0"/>
        <v>4.755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Hydrurus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6183</v>
      </c>
      <c r="Q25" s="221">
        <f t="shared" si="1"/>
        <v>4.755</v>
      </c>
      <c r="R25" s="222">
        <f t="shared" si="2"/>
        <v>3</v>
      </c>
      <c r="S25" s="222">
        <f t="shared" si="3"/>
        <v>48</v>
      </c>
      <c r="T25" s="222">
        <f t="shared" si="4"/>
        <v>96</v>
      </c>
      <c r="U25" s="234">
        <f t="shared" si="5"/>
        <v>6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HYUSPX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33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5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Lemanea sp.</v>
      </c>
      <c r="E26" s="231" t="e">
        <f>IF(D26="",,VLOOKUP(D26,D$22:D25,1,0))</f>
        <v>#N/A</v>
      </c>
      <c r="F26" s="232">
        <f t="shared" si="0"/>
        <v>4.75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Lemanea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1159</v>
      </c>
      <c r="Q26" s="221">
        <f t="shared" si="1"/>
        <v>4.75</v>
      </c>
      <c r="R26" s="222">
        <f t="shared" si="2"/>
        <v>3</v>
      </c>
      <c r="S26" s="222">
        <f t="shared" si="3"/>
        <v>45</v>
      </c>
      <c r="T26" s="222">
        <f t="shared" si="4"/>
        <v>90</v>
      </c>
      <c r="U26" s="234">
        <f t="shared" si="5"/>
        <v>6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LEASPX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34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Microspora sp.</v>
      </c>
      <c r="E27" s="231" t="e">
        <f>IF(D27="",,VLOOKUP(D27,D$22:D26,1,0))</f>
        <v>#N/A</v>
      </c>
      <c r="F27" s="232">
        <f t="shared" si="0"/>
        <v>0.009500000000000001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Microspora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1132</v>
      </c>
      <c r="Q27" s="221">
        <f t="shared" si="1"/>
        <v>0.009500000000000001</v>
      </c>
      <c r="R27" s="222">
        <f t="shared" si="2"/>
        <v>1</v>
      </c>
      <c r="S27" s="222">
        <f t="shared" si="3"/>
        <v>12</v>
      </c>
      <c r="T27" s="222">
        <f t="shared" si="4"/>
        <v>24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MICSPX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41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6</v>
      </c>
      <c r="C28" s="230">
        <v>4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Phormidium sp.</v>
      </c>
      <c r="E28" s="231" t="e">
        <f>IF(D28="",,VLOOKUP(D28,D$22:D27,1,0))</f>
        <v>#N/A</v>
      </c>
      <c r="F28" s="232">
        <f t="shared" si="0"/>
        <v>5.9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Phormidium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6414</v>
      </c>
      <c r="Q28" s="221">
        <f t="shared" si="1"/>
        <v>5.9</v>
      </c>
      <c r="R28" s="222">
        <f t="shared" si="2"/>
        <v>3</v>
      </c>
      <c r="S28" s="222">
        <f t="shared" si="3"/>
        <v>39</v>
      </c>
      <c r="T28" s="222">
        <f t="shared" si="4"/>
        <v>78</v>
      </c>
      <c r="U28" s="234">
        <f t="shared" si="5"/>
        <v>6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PHOSPX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57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Tetraspora sp.</v>
      </c>
      <c r="E29" s="231" t="e">
        <f>IF(D29="",,VLOOKUP(D29,D$22:D28,1,0))</f>
        <v>#N/A</v>
      </c>
      <c r="F29" s="232">
        <f t="shared" si="0"/>
        <v>0.0005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Tetraspora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1138</v>
      </c>
      <c r="Q29" s="221">
        <f t="shared" si="1"/>
        <v>0.0005</v>
      </c>
      <c r="R29" s="222">
        <f t="shared" si="2"/>
        <v>1</v>
      </c>
      <c r="S29" s="222">
        <f t="shared" si="3"/>
        <v>12</v>
      </c>
      <c r="T29" s="222">
        <f t="shared" si="4"/>
        <v>12</v>
      </c>
      <c r="U29" s="234">
        <f t="shared" si="5"/>
        <v>1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TETSPX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73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0.2</v>
      </c>
      <c r="C30" s="230">
        <v>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Ulothrix sp.</v>
      </c>
      <c r="E30" s="231" t="e">
        <f>IF(D30="",,VLOOKUP(D30,D$22:D29,1,0))</f>
        <v>#N/A</v>
      </c>
      <c r="F30" s="232">
        <f t="shared" si="0"/>
        <v>0.29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Ulothrix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1142</v>
      </c>
      <c r="Q30" s="221">
        <f t="shared" si="1"/>
        <v>0.29000000000000004</v>
      </c>
      <c r="R30" s="222">
        <f t="shared" si="2"/>
        <v>2</v>
      </c>
      <c r="S30" s="222">
        <f t="shared" si="3"/>
        <v>20</v>
      </c>
      <c r="T30" s="222">
        <f t="shared" si="4"/>
        <v>20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ULOSPX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81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0.1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Cinclidotus aquaticus</v>
      </c>
      <c r="E31" s="231" t="e">
        <f>IF(D31="",,VLOOKUP(D31,D$22:D30,1,0))</f>
        <v>#N/A</v>
      </c>
      <c r="F31" s="232">
        <f t="shared" si="0"/>
        <v>0.095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15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Cinclidotus aquaticus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1318</v>
      </c>
      <c r="Q31" s="221">
        <f t="shared" si="1"/>
        <v>0.095</v>
      </c>
      <c r="R31" s="222">
        <f t="shared" si="2"/>
        <v>1</v>
      </c>
      <c r="S31" s="222">
        <f t="shared" si="3"/>
        <v>15</v>
      </c>
      <c r="T31" s="222">
        <f t="shared" si="4"/>
        <v>30</v>
      </c>
      <c r="U31" s="234">
        <f t="shared" si="5"/>
        <v>2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CINAQU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170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86</v>
      </c>
      <c r="B32" s="229">
        <v>0.1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Cratoneuron filicinum</v>
      </c>
      <c r="E32" s="231" t="e">
        <f>IF(D32="",,VLOOKUP(D32,D$22:D31,1,0))</f>
        <v>#N/A</v>
      </c>
      <c r="F32" s="232">
        <f t="shared" si="0"/>
        <v>0.095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18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Cratoneuron filicinum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1233</v>
      </c>
      <c r="Q32" s="221">
        <f t="shared" si="1"/>
        <v>0.095</v>
      </c>
      <c r="R32" s="222">
        <f t="shared" si="2"/>
        <v>1</v>
      </c>
      <c r="S32" s="222">
        <f t="shared" si="3"/>
        <v>18</v>
      </c>
      <c r="T32" s="222">
        <f t="shared" si="4"/>
        <v>54</v>
      </c>
      <c r="U32" s="234">
        <f t="shared" si="5"/>
        <v>3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CRAFIL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178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87</v>
      </c>
      <c r="B33" s="229">
        <v>0.3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Hygrohypnum luridum</v>
      </c>
      <c r="E33" s="231" t="e">
        <f>IF(D33="",,VLOOKUP(D33,D$22:D32,1,0))</f>
        <v>#N/A</v>
      </c>
      <c r="F33" s="232">
        <f t="shared" si="0"/>
        <v>0.285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19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Hygrohypnum luridum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1240</v>
      </c>
      <c r="Q33" s="221">
        <f t="shared" si="1"/>
        <v>0.285</v>
      </c>
      <c r="R33" s="222">
        <f t="shared" si="2"/>
        <v>2</v>
      </c>
      <c r="S33" s="222">
        <f t="shared" si="3"/>
        <v>38</v>
      </c>
      <c r="T33" s="222">
        <f t="shared" si="4"/>
        <v>114</v>
      </c>
      <c r="U33" s="234">
        <f t="shared" si="5"/>
        <v>6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HYGLUR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219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88</v>
      </c>
      <c r="B34" s="229">
        <v>6.1</v>
      </c>
      <c r="C34" s="230">
        <v>0.5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Rhynchostegium riparioides</v>
      </c>
      <c r="E34" s="231" t="e">
        <f>IF(D34="",,VLOOKUP(D34,D$22:D33,1,0))</f>
        <v>#N/A</v>
      </c>
      <c r="F34" s="236">
        <f t="shared" si="0"/>
        <v>5.82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12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Rhynchostegium riparioides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1268</v>
      </c>
      <c r="Q34" s="221">
        <f t="shared" si="1"/>
        <v>5.82</v>
      </c>
      <c r="R34" s="222">
        <f t="shared" si="2"/>
        <v>3</v>
      </c>
      <c r="S34" s="222">
        <f t="shared" si="3"/>
        <v>36</v>
      </c>
      <c r="T34" s="222">
        <f t="shared" si="4"/>
        <v>36</v>
      </c>
      <c r="U34" s="234">
        <f t="shared" si="5"/>
        <v>3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RHYRIP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252</v>
      </c>
      <c r="AA34" s="226"/>
      <c r="AB34" s="227"/>
      <c r="AC34" s="227"/>
      <c r="BB34" s="8">
        <f t="shared" si="7"/>
        <v>1</v>
      </c>
    </row>
    <row r="35" spans="1:54" ht="15">
      <c r="A35" s="228" t="s">
        <v>89</v>
      </c>
      <c r="B35" s="229">
        <v>0</v>
      </c>
      <c r="C35" s="230">
        <v>0.01</v>
      </c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0.0005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    -</v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Encyonema sp.</v>
      </c>
      <c r="L35" s="233"/>
      <c r="M35" s="233"/>
      <c r="N35" s="233"/>
      <c r="O35" s="220"/>
      <c r="P35" s="220" t="str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No</v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newcod</v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37" t="s">
        <v>90</v>
      </c>
      <c r="AC35" s="227"/>
      <c r="BB35" s="8">
        <f t="shared" si="7"/>
        <v>1</v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8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9"/>
      <c r="M59" s="239"/>
      <c r="N59" s="239"/>
      <c r="O59" s="220"/>
      <c r="P59" s="24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9"/>
      <c r="M60" s="239"/>
      <c r="N60" s="239"/>
      <c r="O60" s="220"/>
      <c r="P60" s="24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1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2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3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4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3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4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3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4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3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4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3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4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3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4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3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4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3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4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3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4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3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4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3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4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3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4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3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4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3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4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3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4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3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4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3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4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3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4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9"/>
      <c r="M81" s="239"/>
      <c r="N81" s="239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5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6" t="s">
        <v>55</v>
      </c>
      <c r="B82" s="247"/>
      <c r="C82" s="248"/>
      <c r="D82" s="249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0">
        <f>IF(D82="",,VLOOKUP(D82,D$20:D80,1,0))</f>
        <v>0</v>
      </c>
      <c r="F82" s="251">
        <f t="shared" si="8"/>
        <v>0</v>
      </c>
      <c r="G82" s="252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3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4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5"/>
      <c r="M82" s="255"/>
      <c r="N82" s="255"/>
      <c r="O82" s="256"/>
      <c r="P82" s="257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8" t="s">
        <v>55</v>
      </c>
      <c r="X82" s="259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60" t="s">
        <v>91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1"/>
      <c r="Q83" s="261"/>
      <c r="R83" s="261"/>
      <c r="S83" s="261"/>
      <c r="T83" s="8"/>
      <c r="U83" s="8"/>
      <c r="V83" s="261"/>
      <c r="W83" s="261"/>
      <c r="X83" s="261"/>
      <c r="Y83" s="262"/>
      <c r="Z83" s="262"/>
      <c r="AA83" s="263"/>
      <c r="AB83" s="264"/>
      <c r="AC83" s="264"/>
      <c r="AD83" s="264"/>
    </row>
    <row r="84" spans="1:30" ht="12.75" hidden="1">
      <c r="A84" s="265" t="str">
        <f>A3</f>
        <v>CHERAN</v>
      </c>
      <c r="B84" s="266" t="str">
        <f>C3</f>
        <v>CHERAN A JARSY</v>
      </c>
      <c r="C84" s="267">
        <f>A4</f>
        <v>41465</v>
      </c>
      <c r="D84" s="268">
        <f>IF(ISERROR(SUM($T$23:$T$82)/SUM($U$23:$U$82)),"",SUM($T$23:$T$82)/SUM($U$23:$U$82))</f>
        <v>14</v>
      </c>
      <c r="E84" s="269">
        <f>N13</f>
        <v>13</v>
      </c>
      <c r="F84" s="266">
        <f>N14</f>
        <v>12</v>
      </c>
      <c r="G84" s="266">
        <f>N15</f>
        <v>4</v>
      </c>
      <c r="H84" s="266">
        <f>N16</f>
        <v>6</v>
      </c>
      <c r="I84" s="266">
        <f>N17</f>
        <v>2</v>
      </c>
      <c r="J84" s="270">
        <f>N8</f>
        <v>13.333333333333334</v>
      </c>
      <c r="K84" s="268">
        <f>N9</f>
        <v>3.39934634239519</v>
      </c>
      <c r="L84" s="269">
        <f>N10</f>
        <v>6</v>
      </c>
      <c r="M84" s="269">
        <f>N11</f>
        <v>19</v>
      </c>
      <c r="N84" s="268">
        <f>O8</f>
        <v>1.8333333333333333</v>
      </c>
      <c r="O84" s="268">
        <f>O9</f>
        <v>0.6871842709362768</v>
      </c>
      <c r="P84" s="269">
        <f>O10</f>
        <v>1</v>
      </c>
      <c r="Q84" s="269">
        <f>O11</f>
        <v>3</v>
      </c>
      <c r="R84" s="269">
        <f>F21</f>
        <v>28.800500000000003</v>
      </c>
      <c r="S84" s="269">
        <f>K11</f>
        <v>0</v>
      </c>
      <c r="T84" s="269">
        <f>K12</f>
        <v>8</v>
      </c>
      <c r="U84" s="269">
        <f>K13</f>
        <v>4</v>
      </c>
      <c r="V84" s="271">
        <f>K14</f>
        <v>0</v>
      </c>
      <c r="W84" s="272">
        <f>K15</f>
        <v>0</v>
      </c>
      <c r="Z84" s="273"/>
      <c r="AA84" s="273"/>
      <c r="AB84" s="264"/>
      <c r="AC84" s="264"/>
      <c r="AD84" s="26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4" t="s">
        <v>92</v>
      </c>
      <c r="R86" s="8"/>
      <c r="S86" s="223"/>
      <c r="T86" s="8"/>
      <c r="U86" s="8"/>
      <c r="V86" s="8"/>
    </row>
    <row r="87" spans="16:22" ht="12.75" hidden="1">
      <c r="P87" s="8"/>
      <c r="Q87" s="8" t="s">
        <v>93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94</v>
      </c>
      <c r="R88" s="8"/>
      <c r="S88" s="223">
        <f>VLOOKUP((S87),($S$23:$U$82),2,0)</f>
        <v>96</v>
      </c>
      <c r="T88" s="8"/>
      <c r="U88" s="8"/>
      <c r="V88" s="8"/>
    </row>
    <row r="89" spans="17:20" ht="12.75" hidden="1">
      <c r="Q89" s="8" t="s">
        <v>95</v>
      </c>
      <c r="R89" s="8"/>
      <c r="S89" s="223">
        <f>VLOOKUP((S87),($S$23:$U$82),3,0)</f>
        <v>6</v>
      </c>
      <c r="T89" s="8"/>
    </row>
    <row r="90" spans="17:20" ht="12.75">
      <c r="Q90" s="8" t="s">
        <v>96</v>
      </c>
      <c r="R90" s="8"/>
      <c r="S90" s="275">
        <f>IF(ISERROR(SUM($T$23:$T$82)/SUM($U$23:$U$82)),"",(SUM($T$23:$T$82)-S88)/(SUM($U$23:$U$82)-S89))</f>
        <v>13.7</v>
      </c>
      <c r="T90" s="8"/>
    </row>
    <row r="91" spans="17:21" ht="12.75">
      <c r="Q91" s="222" t="s">
        <v>97</v>
      </c>
      <c r="R91" s="222"/>
      <c r="S91" s="222" t="str">
        <f>INDEX('[1]liste reference'!$A$8:$A$904,$T$91)</f>
        <v>HYUSPX</v>
      </c>
      <c r="T91" s="8">
        <f>IF(ISERROR(MATCH($S$93,'[1]liste reference'!$A$8:$A$904,0)),MATCH($S$93,'[1]liste reference'!$B$8:$B$904,0),(MATCH($S$93,'[1]liste reference'!$A$8:$A$904,0)))</f>
        <v>33</v>
      </c>
      <c r="U91" s="264"/>
    </row>
    <row r="92" spans="17:20" ht="12.75">
      <c r="Q92" s="8" t="s">
        <v>98</v>
      </c>
      <c r="R92" s="8"/>
      <c r="S92" s="8">
        <f>MATCH(S87,$S$23:$S$82,0)</f>
        <v>3</v>
      </c>
      <c r="T92" s="8"/>
    </row>
    <row r="93" spans="17:20" ht="12.75">
      <c r="Q93" s="222" t="s">
        <v>99</v>
      </c>
      <c r="R93" s="8"/>
      <c r="S93" s="222" t="str">
        <f>INDEX($A$23:$A$82,$S$92)</f>
        <v>HYUSPX</v>
      </c>
      <c r="T93" s="8"/>
    </row>
    <row r="94" ht="12.75">
      <c r="S94" s="264"/>
    </row>
  </sheetData>
  <sheetProtection password="C39F" sheet="1" objects="1" scenarios="1"/>
  <mergeCells count="11">
    <mergeCell ref="A8:C8"/>
    <mergeCell ref="I11:J11"/>
    <mergeCell ref="I12:J12"/>
    <mergeCell ref="I17:J17"/>
    <mergeCell ref="I13:J13"/>
    <mergeCell ref="I14:J14"/>
    <mergeCell ref="I15:J15"/>
    <mergeCell ref="N6:O6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2013-12-13T08:36:27Z</dcterms:created>
  <dcterms:modified xsi:type="dcterms:W3CDTF">2013-12-13T08:36:30Z</dcterms:modified>
  <cp:category/>
  <cp:version/>
  <cp:contentType/>
  <cp:contentStatus/>
</cp:coreProperties>
</file>