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<sst xmlns="http://schemas.openxmlformats.org/spreadsheetml/2006/main" count="219" uniqueCount="98">
  <si>
    <t>Relevés floristiques aquatiques - IBMR</t>
  </si>
  <si>
    <t xml:space="preserve">Formulaire modèle GIS Macrophytes v 3.3 - novembre 2013  </t>
  </si>
  <si>
    <t>SAGE</t>
  </si>
  <si>
    <t>L.BOURGOIN L.ISEBE</t>
  </si>
  <si>
    <t>conforme AFNOR T90-395 oct. 2003</t>
  </si>
  <si>
    <t>Chéran</t>
  </si>
  <si>
    <t>Chéran à Jarsy</t>
  </si>
  <si>
    <t>06070400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</si>
  <si>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</si>
  <si>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</si>
  <si>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</si>
  <si>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</si>
  <si>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</si>
  <si>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</si>
  <si>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</si>
  <si>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</si>
  <si>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</si>
  <si>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</si>
  <si>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</si>
  <si>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</si>
  <si>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</si>
  <si>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</si>
  <si>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</si>
  <si>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</si>
  <si>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</si>
  <si>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</si>
  <si>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</si>
  <si>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</si>
  <si>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</si>
  <si>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</si>
  <si>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</si>
  <si>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</si>
  <si>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</si>
  <si>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</si>
  <si>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</si>
  <si>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</si>
  <si>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</si>
  <si>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</si>
  <si>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</si>
  <si>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</si>
  <si>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</si>
  <si>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</si>
  <si>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</si>
  <si>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</si>
  <si>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</si>
  <si>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</si>
  <si>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</si>
  <si>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</si>
  <si>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</si>
  <si>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</si>
  <si>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</si>
  <si>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</si>
  <si>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</si>
  <si>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</si>
  <si>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</si>
  <si>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</si>
  <si>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</si>
  <si>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</si>
  <si>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</si>
  <si>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</si>
  <si>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</si>
  <si>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</si>
  <si>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</si>
  <si>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</si>
  <si>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</si>
  <si>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</si>
  <si>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</si>
  <si>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</si>
  <si>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</si>
  <si>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</si>
  <si>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</si>
  <si>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</si>
  <si>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</si>
  <si>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</si>
  <si>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</si>
  <si>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</si>
  <si>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</si>
  <si>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</si>
  <si>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</si>
  <si>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</si>
  <si>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HYUSPX</t>
  </si>
  <si>
    <t>LEASPX</t>
  </si>
  <si>
    <t>MICSPX</t>
  </si>
  <si>
    <t>PHOSPX</t>
  </si>
  <si>
    <t>VAUSPX</t>
  </si>
  <si>
    <t>AMBFLU</t>
  </si>
  <si>
    <t>AMBRIP</t>
  </si>
  <si>
    <t>CINFON</t>
  </si>
  <si>
    <t>FISCRA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</si>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</sst>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CHEJAR_02-07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W16" sqref="W16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41822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10.666666666666666</v>
      </c>
      <c r="M5" s="52"/>
      <c r="N5" s="53" t="s">
        <v>16</v>
      </c>
      <c r="O5" s="54">
        <v>10.5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10.727272727272727</v>
      </c>
      <c r="O8" s="84">
        <f>IF(ISERROR(AVERAGE(J23:J82)),"      -",AVERAGE(J23:J82))</f>
        <v>1.7272727272727273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25.22</v>
      </c>
      <c r="C9" s="87">
        <v>12.56</v>
      </c>
      <c r="D9" s="88"/>
      <c r="E9" s="88"/>
      <c r="F9" s="89">
        <f>($B9*$B$7+$C9*$C$7)/100</f>
        <v>24.587000000000003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3.792118839020765</v>
      </c>
      <c r="O9" s="84">
        <f>IF(ISERROR(STDEVP(J23:J82)),"      -",STDEVP(J23:J82))</f>
        <v>0.4453617714151233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16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5.2</v>
      </c>
      <c r="C12" s="120">
        <v>2.52</v>
      </c>
      <c r="D12" s="111"/>
      <c r="E12" s="111"/>
      <c r="F12" s="112">
        <f>($B12*$B$7+$C12*$C$7)/100</f>
        <v>5.066</v>
      </c>
      <c r="G12" s="121"/>
      <c r="H12" s="67"/>
      <c r="I12" s="122" t="s">
        <v>39</v>
      </c>
      <c r="J12" s="123"/>
      <c r="K12" s="116">
        <f>COUNTIF($G$23:$G$82,"=ALG")</f>
        <v>6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20.02</v>
      </c>
      <c r="C13" s="120">
        <v>10.04</v>
      </c>
      <c r="D13" s="111"/>
      <c r="E13" s="111"/>
      <c r="F13" s="112">
        <f>($B13*$B$7+$C13*$C$7)/100</f>
        <v>19.521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11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11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3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8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25.22</v>
      </c>
      <c r="C17" s="120">
        <v>12.56</v>
      </c>
      <c r="D17" s="111"/>
      <c r="E17" s="111"/>
      <c r="F17" s="147"/>
      <c r="G17" s="112">
        <f>($B17*$B$7+$C17*$C$7)/100</f>
        <v>24.587000000000003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24.587</v>
      </c>
      <c r="G19" s="161">
        <f>SUM(G16:G18)</f>
        <v>24.587000000000003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25.22</v>
      </c>
      <c r="C20" s="171">
        <f>SUM(C23:C82)</f>
        <v>12.559999999999999</v>
      </c>
      <c r="D20" s="172"/>
      <c r="E20" s="173" t="s">
        <v>54</v>
      </c>
      <c r="F20" s="174">
        <f>($B20*$B$7+$C20*$C$7)/100</f>
        <v>24.587000000000003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23.959</v>
      </c>
      <c r="C21" s="184">
        <f>C20*C7/100</f>
        <v>0.628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24.587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4</v>
      </c>
      <c r="C23" s="212">
        <v>0.8000000000000002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3.84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3.84</v>
      </c>
      <c r="R23" s="222">
        <f aca="true" t="shared" si="2" ref="R23:R82">IF(OR(ISTEXT(H23),Q23=0),"",IF(Q23&lt;0.1,1,IF(Q23&lt;1,2,IF(Q23&lt;10,3,IF(Q23&lt;50,4,IF(Q23&gt;=50,5,""))))))</f>
        <v>3</v>
      </c>
      <c r="S23" s="222">
        <f aca="true" t="shared" si="3" ref="S23:S82">IF(ISERROR(R23*I23),0,R23*I23)</f>
        <v>18</v>
      </c>
      <c r="T23" s="222">
        <f aca="true" t="shared" si="4" ref="T23:T82">IF(ISERROR(R23*I23*J23),0,R23*I23*J23)</f>
        <v>18</v>
      </c>
      <c r="U23" s="222">
        <f aca="true" t="shared" si="5" ref="U23:U82">IF(ISERROR(R23*J23),0,R23*J23)</f>
        <v>3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0.8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Hydrurus sp.</v>
      </c>
      <c r="E24" s="231" t="e">
        <f>IF(D24="",,VLOOKUP(D24,D$22:D23,1,0))</f>
        <v>#N/A</v>
      </c>
      <c r="F24" s="232">
        <f t="shared" si="0"/>
        <v>0.76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Hydrurus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6183</v>
      </c>
      <c r="Q24" s="221">
        <f t="shared" si="1"/>
        <v>0.76</v>
      </c>
      <c r="R24" s="222">
        <f t="shared" si="2"/>
        <v>2</v>
      </c>
      <c r="S24" s="222">
        <f t="shared" si="3"/>
        <v>32</v>
      </c>
      <c r="T24" s="222">
        <f t="shared" si="4"/>
        <v>64</v>
      </c>
      <c r="U24" s="234">
        <f t="shared" si="5"/>
        <v>4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HYUSPX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33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0.1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Lemanea sp.</v>
      </c>
      <c r="E25" s="231" t="e">
        <f>IF(D25="",,VLOOKUP(D25,D$22:D24,1,0))</f>
        <v>#N/A</v>
      </c>
      <c r="F25" s="232">
        <f t="shared" si="0"/>
        <v>0.095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Lemanea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1159</v>
      </c>
      <c r="Q25" s="221">
        <f t="shared" si="1"/>
        <v>0.095</v>
      </c>
      <c r="R25" s="222">
        <f t="shared" si="2"/>
        <v>1</v>
      </c>
      <c r="S25" s="222">
        <f t="shared" si="3"/>
        <v>15</v>
      </c>
      <c r="T25" s="222">
        <f t="shared" si="4"/>
        <v>30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LEASPX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34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</v>
      </c>
      <c r="C26" s="230">
        <v>1.21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Microspora sp.</v>
      </c>
      <c r="E26" s="231" t="e">
        <f>IF(D26="",,VLOOKUP(D26,D$22:D25,1,0))</f>
        <v>#N/A</v>
      </c>
      <c r="F26" s="232">
        <f t="shared" si="0"/>
        <v>0.0605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12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Microspora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1132</v>
      </c>
      <c r="Q26" s="221">
        <f t="shared" si="1"/>
        <v>0.0605</v>
      </c>
      <c r="R26" s="222">
        <f t="shared" si="2"/>
        <v>1</v>
      </c>
      <c r="S26" s="222">
        <f t="shared" si="3"/>
        <v>12</v>
      </c>
      <c r="T26" s="222">
        <f t="shared" si="4"/>
        <v>24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MICSPX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41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0.3</v>
      </c>
      <c r="C27" s="230">
        <v>0.5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Phormidium sp.</v>
      </c>
      <c r="E27" s="231" t="e">
        <f>IF(D27="",,VLOOKUP(D27,D$22:D26,1,0))</f>
        <v>#N/A</v>
      </c>
      <c r="F27" s="232">
        <f t="shared" si="0"/>
        <v>0.31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Phormidium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6414</v>
      </c>
      <c r="Q27" s="221">
        <f t="shared" si="1"/>
        <v>0.31</v>
      </c>
      <c r="R27" s="222">
        <f t="shared" si="2"/>
        <v>2</v>
      </c>
      <c r="S27" s="222">
        <f t="shared" si="3"/>
        <v>26</v>
      </c>
      <c r="T27" s="222">
        <f t="shared" si="4"/>
        <v>52</v>
      </c>
      <c r="U27" s="234">
        <f t="shared" si="5"/>
        <v>4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PHOSPX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Vaucheria sp.</v>
      </c>
      <c r="E28" s="231" t="e">
        <f>IF(D28="",,VLOOKUP(D28,D$22:D27,1,0))</f>
        <v>#N/A</v>
      </c>
      <c r="F28" s="232">
        <f t="shared" si="0"/>
        <v>0.0005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4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Vaucheria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6193</v>
      </c>
      <c r="Q28" s="221">
        <f t="shared" si="1"/>
        <v>0.0005</v>
      </c>
      <c r="R28" s="222">
        <f t="shared" si="2"/>
        <v>1</v>
      </c>
      <c r="S28" s="222">
        <f t="shared" si="3"/>
        <v>4</v>
      </c>
      <c r="T28" s="222">
        <f t="shared" si="4"/>
        <v>4</v>
      </c>
      <c r="U28" s="234">
        <f t="shared" si="5"/>
        <v>1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VAUSPX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82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85</v>
      </c>
      <c r="B29" s="229">
        <v>2.5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Amblystegium fluviatile</v>
      </c>
      <c r="E29" s="231" t="e">
        <f>IF(D29="",,VLOOKUP(D29,D$22:D28,1,0))</f>
        <v>#N/A</v>
      </c>
      <c r="F29" s="232">
        <f t="shared" si="0"/>
        <v>2.375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11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Amblystegium fluviatile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1223</v>
      </c>
      <c r="Q29" s="221">
        <f t="shared" si="1"/>
        <v>2.375</v>
      </c>
      <c r="R29" s="222">
        <f t="shared" si="2"/>
        <v>3</v>
      </c>
      <c r="S29" s="222">
        <f t="shared" si="3"/>
        <v>33</v>
      </c>
      <c r="T29" s="222">
        <f t="shared" si="4"/>
        <v>66</v>
      </c>
      <c r="U29" s="234">
        <f t="shared" si="5"/>
        <v>6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AMBFLU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147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86</v>
      </c>
      <c r="B30" s="229">
        <v>2.5</v>
      </c>
      <c r="C30" s="230">
        <v>1.02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Amblystegium riparium</v>
      </c>
      <c r="E30" s="231" t="e">
        <f>IF(D30="",,VLOOKUP(D30,D$22:D29,1,0))</f>
        <v>#N/A</v>
      </c>
      <c r="F30" s="232">
        <f t="shared" si="0"/>
        <v>2.426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5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Amblystegium riparium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1219</v>
      </c>
      <c r="Q30" s="221">
        <f t="shared" si="1"/>
        <v>2.426</v>
      </c>
      <c r="R30" s="222">
        <f t="shared" si="2"/>
        <v>3</v>
      </c>
      <c r="S30" s="222">
        <f t="shared" si="3"/>
        <v>15</v>
      </c>
      <c r="T30" s="222">
        <f t="shared" si="4"/>
        <v>30</v>
      </c>
      <c r="U30" s="234">
        <f t="shared" si="5"/>
        <v>6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AMBRIP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148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87</v>
      </c>
      <c r="B31" s="229">
        <v>0.02</v>
      </c>
      <c r="C31" s="230">
        <v>0.01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Cinclidotus fontinaloides</v>
      </c>
      <c r="E31" s="231" t="e">
        <f>IF(D31="",,VLOOKUP(D31,D$22:D30,1,0))</f>
        <v>#N/A</v>
      </c>
      <c r="F31" s="232">
        <f t="shared" si="0"/>
        <v>0.019500000000000003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Cinclidotus fontinaloides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1320</v>
      </c>
      <c r="Q31" s="221">
        <f t="shared" si="1"/>
        <v>0.019500000000000003</v>
      </c>
      <c r="R31" s="222">
        <f t="shared" si="2"/>
        <v>1</v>
      </c>
      <c r="S31" s="222">
        <f t="shared" si="3"/>
        <v>12</v>
      </c>
      <c r="T31" s="222">
        <f t="shared" si="4"/>
        <v>24</v>
      </c>
      <c r="U31" s="234">
        <f t="shared" si="5"/>
        <v>2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CINFON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172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88</v>
      </c>
      <c r="B32" s="229">
        <v>0</v>
      </c>
      <c r="C32" s="230">
        <v>0.01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Fissidens crassipes</v>
      </c>
      <c r="E32" s="231" t="e">
        <f>IF(D32="",,VLOOKUP(D32,D$22:D31,1,0))</f>
        <v>#N/A</v>
      </c>
      <c r="F32" s="232">
        <f t="shared" si="0"/>
        <v>0.0005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12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Fissidens crassipes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1294</v>
      </c>
      <c r="Q32" s="221">
        <f t="shared" si="1"/>
        <v>0.0005</v>
      </c>
      <c r="R32" s="222">
        <f t="shared" si="2"/>
        <v>1</v>
      </c>
      <c r="S32" s="222">
        <f t="shared" si="3"/>
        <v>12</v>
      </c>
      <c r="T32" s="222">
        <f t="shared" si="4"/>
        <v>24</v>
      </c>
      <c r="U32" s="234">
        <f t="shared" si="5"/>
        <v>2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FISCRA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197</v>
      </c>
      <c r="AA32" s="226"/>
      <c r="AB32" s="227"/>
      <c r="AC32" s="227"/>
      <c r="BB32" s="8">
        <f t="shared" si="7"/>
        <v>1</v>
      </c>
    </row>
    <row r="33" spans="1:54" ht="12.75">
      <c r="A33" s="228" t="s">
        <v>16</v>
      </c>
      <c r="B33" s="229">
        <v>15</v>
      </c>
      <c r="C33" s="230">
        <v>9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Rhynchostegium riparioides</v>
      </c>
      <c r="E33" s="231" t="e">
        <f>IF(D33="",,VLOOKUP(D33,D$22:D32,1,0))</f>
        <v>#N/A</v>
      </c>
      <c r="F33" s="232">
        <f t="shared" si="0"/>
        <v>14.7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Rhynchostegium riparioides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1268</v>
      </c>
      <c r="Q33" s="221">
        <f t="shared" si="1"/>
        <v>14.7</v>
      </c>
      <c r="R33" s="222">
        <f t="shared" si="2"/>
        <v>4</v>
      </c>
      <c r="S33" s="222">
        <f t="shared" si="3"/>
        <v>48</v>
      </c>
      <c r="T33" s="222">
        <f t="shared" si="4"/>
        <v>48</v>
      </c>
      <c r="U33" s="234">
        <f t="shared" si="5"/>
        <v>4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RHYRIP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252</v>
      </c>
      <c r="AA33" s="226"/>
      <c r="AB33" s="227"/>
      <c r="AC33" s="227"/>
      <c r="BB33" s="8">
        <f t="shared" si="7"/>
        <v>1</v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89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Chéran</v>
      </c>
      <c r="B84" s="265" t="str">
        <f>C3</f>
        <v>Chéran à Jarsy</v>
      </c>
      <c r="C84" s="266">
        <f>A4</f>
        <v>41822</v>
      </c>
      <c r="D84" s="267">
        <f>IF(ISERROR(SUM($T$23:$T$82)/SUM($U$23:$U$82)),"",SUM($T$23:$T$82)/SUM($U$23:$U$82))</f>
        <v>10.666666666666666</v>
      </c>
      <c r="E84" s="268">
        <f>N13</f>
        <v>11</v>
      </c>
      <c r="F84" s="265">
        <f>N14</f>
        <v>11</v>
      </c>
      <c r="G84" s="265">
        <f>N15</f>
        <v>3</v>
      </c>
      <c r="H84" s="265">
        <f>N16</f>
        <v>8</v>
      </c>
      <c r="I84" s="265">
        <f>N17</f>
        <v>0</v>
      </c>
      <c r="J84" s="269">
        <f>N8</f>
        <v>10.727272727272727</v>
      </c>
      <c r="K84" s="267">
        <f>N9</f>
        <v>3.792118839020765</v>
      </c>
      <c r="L84" s="268">
        <f>N10</f>
        <v>4</v>
      </c>
      <c r="M84" s="268">
        <f>N11</f>
        <v>16</v>
      </c>
      <c r="N84" s="267">
        <f>O8</f>
        <v>1.7272727272727273</v>
      </c>
      <c r="O84" s="267">
        <f>O9</f>
        <v>0.4453617714151233</v>
      </c>
      <c r="P84" s="268">
        <f>O10</f>
        <v>1</v>
      </c>
      <c r="Q84" s="268">
        <f>O11</f>
        <v>2</v>
      </c>
      <c r="R84" s="268">
        <f>F21</f>
        <v>24.587</v>
      </c>
      <c r="S84" s="268">
        <f>K11</f>
        <v>0</v>
      </c>
      <c r="T84" s="268">
        <f>K12</f>
        <v>6</v>
      </c>
      <c r="U84" s="268">
        <f>K13</f>
        <v>5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90</v>
      </c>
      <c r="R86" s="8"/>
      <c r="S86" s="223"/>
      <c r="T86" s="8"/>
      <c r="U86" s="8"/>
      <c r="V86" s="8"/>
    </row>
    <row r="87" spans="16:22" ht="12.75" hidden="1">
      <c r="P87" s="8"/>
      <c r="Q87" s="8" t="s">
        <v>91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92</v>
      </c>
      <c r="R88" s="8"/>
      <c r="S88" s="223">
        <f>VLOOKUP((S87),($S$23:$U$82),2,0)</f>
        <v>48</v>
      </c>
      <c r="T88" s="8"/>
      <c r="U88" s="8"/>
      <c r="V88" s="8"/>
    </row>
    <row r="89" spans="17:20" ht="12.75" hidden="1">
      <c r="Q89" s="8" t="s">
        <v>93</v>
      </c>
      <c r="R89" s="8"/>
      <c r="S89" s="223">
        <f>VLOOKUP((S87),($S$23:$U$82),3,0)</f>
        <v>4</v>
      </c>
      <c r="T89" s="8"/>
    </row>
    <row r="90" spans="17:20" ht="12.75">
      <c r="Q90" s="8" t="s">
        <v>94</v>
      </c>
      <c r="R90" s="8"/>
      <c r="S90" s="274">
        <f>IF(ISERROR(SUM($T$23:$T$82)/SUM($U$23:$U$82)),"",(SUM($T$23:$T$82)-S88)/(SUM($U$23:$U$82)-S89))</f>
        <v>10.5</v>
      </c>
      <c r="T90" s="8"/>
    </row>
    <row r="91" spans="17:21" ht="12.75">
      <c r="Q91" s="222" t="s">
        <v>95</v>
      </c>
      <c r="R91" s="222"/>
      <c r="S91" s="222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63"/>
    </row>
    <row r="92" spans="17:20" ht="12.75">
      <c r="Q92" s="8" t="s">
        <v>96</v>
      </c>
      <c r="R92" s="8"/>
      <c r="S92" s="8">
        <f>MATCH(S87,$S$23:$S$82,0)</f>
        <v>11</v>
      </c>
      <c r="T92" s="8"/>
    </row>
    <row r="93" spans="17:20" ht="12.75">
      <c r="Q93" s="222" t="s">
        <v>97</v>
      </c>
      <c r="R93" s="8"/>
      <c r="S93" s="222" t="str">
        <f>INDEX($A$23:$A$82,$S$92)</f>
        <v>RHYRIP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2015-03-17T11:28:47Z</dcterms:created>
  <dcterms:modified xsi:type="dcterms:W3CDTF">2015-03-17T11:28:52Z</dcterms:modified>
  <cp:category/>
  <cp:version/>
  <cp:contentType/>
  <cp:contentStatus/>
</cp:coreProperties>
</file>