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<sst xmlns="http://schemas.openxmlformats.org/spreadsheetml/2006/main" count="217" uniqueCount="96">
  <si>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</si>
  <si>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</si>
  <si>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 ENVIRONNEMENT</t>
  </si>
  <si>
    <t>PBELLY MSCHNEIDER</t>
  </si>
  <si>
    <t>CHERAN</t>
  </si>
  <si>
    <t>CHERAN A RUMILLY</t>
  </si>
  <si>
    <t>06071000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</si>
  <si>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</si>
  <si>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</si>
  <si>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</si>
  <si>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</si>
  <si>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</si>
  <si>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</si>
  <si>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</si>
  <si>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</si>
  <si>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</si>
  <si>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</si>
  <si>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</si>
  <si>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</si>
  <si>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</si>
  <si>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</si>
  <si>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</si>
  <si>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</si>
  <si>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</si>
  <si>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</si>
  <si>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</si>
  <si>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</si>
  <si>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</si>
  <si>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</si>
  <si>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</si>
  <si>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</si>
  <si>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</si>
  <si>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</si>
  <si>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</si>
  <si>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</si>
  <si>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</si>
  <si>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</si>
  <si>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</si>
  <si>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</si>
  <si>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</si>
  <si>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</si>
  <si>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</si>
  <si>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</si>
  <si>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</si>
  <si>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</si>
  <si>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</si>
  <si>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</si>
  <si>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</si>
  <si>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</si>
  <si>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</si>
  <si>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</si>
  <si>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</si>
  <si>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</si>
  <si>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</si>
  <si>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</si>
  <si>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</si>
  <si>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</si>
  <si>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</si>
  <si>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</si>
  <si>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</si>
  <si>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</si>
  <si>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</si>
  <si>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</si>
  <si>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</si>
  <si>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</si>
  <si>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</si>
  <si>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</si>
  <si>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</si>
  <si>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</si>
  <si>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</si>
  <si>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</si>
  <si>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</si>
  <si>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</si>
  <si>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</si>
  <si>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</si>
  <si>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</si>
  <si>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</si>
  <si>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</si>
  <si>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</si>
  <si>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</si>
  <si>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MELSPX</t>
  </si>
  <si>
    <t xml:space="preserve"> -</t>
  </si>
  <si>
    <t>OEDSPX</t>
  </si>
  <si>
    <t>SPISPX</t>
  </si>
  <si>
    <t>VAUSPX</t>
  </si>
  <si>
    <t>CINRIP</t>
  </si>
  <si>
    <t>FONANT</t>
  </si>
  <si>
    <t>LEORIP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</si>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</sst>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HERUM_0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9.11111111111111</v>
      </c>
      <c r="N5" s="50"/>
      <c r="O5" s="51" t="s">
        <v>16</v>
      </c>
      <c r="P5" s="52">
        <v>8.285714285714286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75</v>
      </c>
      <c r="C7" s="68">
        <v>25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8.75</v>
      </c>
      <c r="P8" s="85">
        <f>IF(ISERROR(AVERAGE(K23:K82)),"  ",AVERAGE(K23:K82))</f>
        <v>1.5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0.15</v>
      </c>
      <c r="C9" s="88">
        <v>9.74</v>
      </c>
      <c r="D9" s="89"/>
      <c r="E9" s="89"/>
      <c r="F9" s="90">
        <f>($B9*$B$7+$C9*$C$7)/100</f>
        <v>2.5475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3.112474899497183</v>
      </c>
      <c r="P9" s="85">
        <f>IF(ISERROR(STDEVP(K23:K82)),"  ",STDEVP(K23:K82))</f>
        <v>0.5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0.13</v>
      </c>
      <c r="C12" s="114">
        <v>8.5</v>
      </c>
      <c r="D12" s="89"/>
      <c r="E12" s="89"/>
      <c r="F12" s="106">
        <f>($B12*$B$7+$C12*$C$7)/100</f>
        <v>2.2225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0.02</v>
      </c>
      <c r="C13" s="114">
        <v>1.24</v>
      </c>
      <c r="D13" s="89"/>
      <c r="E13" s="89"/>
      <c r="F13" s="106">
        <f>($B13*$B$7+$C13*$C$7)/100</f>
        <v>0.325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0.15</v>
      </c>
      <c r="C17" s="114">
        <v>9.74</v>
      </c>
      <c r="D17" s="89"/>
      <c r="E17" s="89"/>
      <c r="F17" s="133"/>
      <c r="G17" s="134">
        <f>($B17*$B$7+$C17*$C$7)/100</f>
        <v>2.5475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2.5475000000000003</v>
      </c>
      <c r="G19" s="157">
        <f>SUM(G16:G18)</f>
        <v>2.5475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0.15000000000000002</v>
      </c>
      <c r="C20" s="167">
        <f>SUM(C23:C62)</f>
        <v>9.74</v>
      </c>
      <c r="D20" s="168"/>
      <c r="E20" s="169" t="s">
        <v>54</v>
      </c>
      <c r="F20" s="170">
        <f>($B20*$B$7+$C20*$C$7)/100</f>
        <v>2.5475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0.11250000000000002</v>
      </c>
      <c r="C21" s="178">
        <f>C20*C7/100</f>
        <v>2.435</v>
      </c>
      <c r="D21" s="179" t="s">
        <v>58</v>
      </c>
      <c r="E21" s="180"/>
      <c r="F21" s="181">
        <f>B21+C21</f>
        <v>2.5475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Melosira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0.0075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10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Melosira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8714</v>
      </c>
      <c r="R23" s="219">
        <f aca="true" t="shared" si="2" ref="R23:R82">IF(ISTEXT(H23),"",(B23*$B$7/100)+(C23*$C$7/100))</f>
        <v>0.0075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10</v>
      </c>
      <c r="U23" s="220">
        <f aca="true" t="shared" si="5" ref="U23:U82">IF(ISERROR(S23*J23*K23),0,S23*J23*K23)</f>
        <v>10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MELSPX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62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Oedogonium sp.</v>
      </c>
      <c r="E24" s="228" t="e">
        <f>IF(D24="",,VLOOKUP(D24,D$22:D23,1,0))</f>
        <v>#N/A</v>
      </c>
      <c r="F24" s="229">
        <f t="shared" si="0"/>
        <v>0.0075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Oedogonium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1134</v>
      </c>
      <c r="R24" s="219">
        <f t="shared" si="2"/>
        <v>0.0075</v>
      </c>
      <c r="S24" s="220">
        <f t="shared" si="3"/>
        <v>1</v>
      </c>
      <c r="T24" s="220">
        <f t="shared" si="4"/>
        <v>6</v>
      </c>
      <c r="U24" s="220">
        <f t="shared" si="5"/>
        <v>12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OEDSPX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85</v>
      </c>
    </row>
    <row r="25" spans="1:26" ht="12.75">
      <c r="A25" s="224" t="s">
        <v>83</v>
      </c>
      <c r="B25" s="225">
        <v>0.015</v>
      </c>
      <c r="C25" s="226">
        <v>5.5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Spirogyra sp.</v>
      </c>
      <c r="E25" s="228" t="e">
        <f>IF(D25="",,VLOOKUP(D25,D$22:D24,1,0))</f>
        <v>#N/A</v>
      </c>
      <c r="F25" s="229">
        <f t="shared" si="0"/>
        <v>1.38625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Spirogyra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1147</v>
      </c>
      <c r="R25" s="219">
        <f t="shared" si="2"/>
        <v>1.38625</v>
      </c>
      <c r="S25" s="220">
        <f t="shared" si="3"/>
        <v>3</v>
      </c>
      <c r="T25" s="220">
        <f t="shared" si="4"/>
        <v>30</v>
      </c>
      <c r="U25" s="220">
        <f t="shared" si="5"/>
        <v>30</v>
      </c>
      <c r="V25" s="236">
        <f t="shared" si="6"/>
        <v>3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SPISPX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102</v>
      </c>
    </row>
    <row r="26" spans="1:26" ht="12.75">
      <c r="A26" s="224" t="s">
        <v>84</v>
      </c>
      <c r="B26" s="225">
        <v>0.09499999999999999</v>
      </c>
      <c r="C26" s="226">
        <v>3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0.82125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0.82125</v>
      </c>
      <c r="S26" s="220">
        <f t="shared" si="3"/>
        <v>2</v>
      </c>
      <c r="T26" s="220">
        <f t="shared" si="4"/>
        <v>8</v>
      </c>
      <c r="U26" s="220">
        <f t="shared" si="5"/>
        <v>8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85</v>
      </c>
      <c r="B27" s="225">
        <v>0.01</v>
      </c>
      <c r="C27" s="226">
        <v>0.15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Cinclidotus riparius</v>
      </c>
      <c r="E27" s="228" t="e">
        <f>IF(D27="",,VLOOKUP(D27,D$22:D26,1,0))</f>
        <v>#N/A</v>
      </c>
      <c r="F27" s="229">
        <f t="shared" si="0"/>
        <v>0.045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Cinclidotus riparius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1321</v>
      </c>
      <c r="R27" s="219">
        <f t="shared" si="2"/>
        <v>0.045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CINRIP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224</v>
      </c>
    </row>
    <row r="28" spans="1:26" ht="12.75">
      <c r="A28" s="224" t="s">
        <v>16</v>
      </c>
      <c r="B28" s="225">
        <v>0</v>
      </c>
      <c r="C28" s="226">
        <v>0.5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Fissidens crassipes</v>
      </c>
      <c r="E28" s="228" t="e">
        <f>IF(D28="",,VLOOKUP(D28,D$22:D27,1,0))</f>
        <v>#N/A</v>
      </c>
      <c r="F28" s="229">
        <f t="shared" si="0"/>
        <v>0.125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Fissidens crassipes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1294</v>
      </c>
      <c r="R28" s="219">
        <f t="shared" si="2"/>
        <v>0.125</v>
      </c>
      <c r="S28" s="220">
        <f t="shared" si="3"/>
        <v>2</v>
      </c>
      <c r="T28" s="220">
        <f t="shared" si="4"/>
        <v>24</v>
      </c>
      <c r="U28" s="220">
        <f t="shared" si="5"/>
        <v>48</v>
      </c>
      <c r="V28" s="236">
        <f t="shared" si="6"/>
        <v>4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FISCRA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255</v>
      </c>
    </row>
    <row r="29" spans="1:26" ht="12.75">
      <c r="A29" s="224" t="s">
        <v>86</v>
      </c>
      <c r="B29" s="225">
        <v>0.01</v>
      </c>
      <c r="C29" s="226">
        <v>0.5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Fontinalis antipyretica</v>
      </c>
      <c r="E29" s="228" t="e">
        <f>IF(D29="",,VLOOKUP(D29,D$22:D28,1,0))</f>
        <v>#N/A</v>
      </c>
      <c r="F29" s="229">
        <f t="shared" si="0"/>
        <v>0.1325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Fontinalis antipyretica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1310</v>
      </c>
      <c r="R29" s="219">
        <f t="shared" si="2"/>
        <v>0.1325</v>
      </c>
      <c r="S29" s="220">
        <f t="shared" si="3"/>
        <v>2</v>
      </c>
      <c r="T29" s="220">
        <f t="shared" si="4"/>
        <v>20</v>
      </c>
      <c r="U29" s="220">
        <f t="shared" si="5"/>
        <v>20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FONANT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273</v>
      </c>
    </row>
    <row r="30" spans="1:26" ht="12.75">
      <c r="A30" s="224" t="s">
        <v>87</v>
      </c>
      <c r="B30" s="225">
        <v>0</v>
      </c>
      <c r="C30" s="226">
        <v>0.09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Leptodictyum riparium </v>
      </c>
      <c r="E30" s="228" t="e">
        <f>IF(D30="",,VLOOKUP(D30,D$22:D29,1,0))</f>
        <v>#N/A</v>
      </c>
      <c r="F30" s="229">
        <f t="shared" si="0"/>
        <v>0.0225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Leptodictyum riparium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1244</v>
      </c>
      <c r="R30" s="219">
        <f t="shared" si="2"/>
        <v>0.0225</v>
      </c>
      <c r="S30" s="220">
        <f t="shared" si="3"/>
        <v>1</v>
      </c>
      <c r="T30" s="220">
        <f t="shared" si="4"/>
        <v>5</v>
      </c>
      <c r="U30" s="220">
        <f t="shared" si="5"/>
        <v>10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LEORIP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298</v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2.5475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18</v>
      </c>
      <c r="W83" s="220"/>
      <c r="X83" s="258"/>
      <c r="Y83" s="258"/>
      <c r="Z83" s="259"/>
    </row>
    <row r="84" spans="1:26" ht="12.75" hidden="1">
      <c r="A84" s="253" t="str">
        <f>A3</f>
        <v>CHERAN</v>
      </c>
      <c r="B84" s="187" t="str">
        <f>C3</f>
        <v>CHERAN A RUMILLY</v>
      </c>
      <c r="C84" s="260" t="str">
        <f>A4</f>
        <v>(Date)</v>
      </c>
      <c r="D84" s="261">
        <f>IF(OR(ISERROR(SUM($U$23:$U$82)/SUM($V$23:$V$82)),F7&lt;&gt;100),-1,SUM($U$23:$U$82)/SUM($V$23:$V$82))</f>
        <v>9.11111111111111</v>
      </c>
      <c r="E84" s="262">
        <f>O13</f>
        <v>8</v>
      </c>
      <c r="F84" s="187">
        <f>O14</f>
        <v>8</v>
      </c>
      <c r="G84" s="187">
        <f>O15</f>
        <v>4</v>
      </c>
      <c r="H84" s="187">
        <f>O16</f>
        <v>4</v>
      </c>
      <c r="I84" s="187">
        <f>O17</f>
        <v>0</v>
      </c>
      <c r="J84" s="263">
        <f>O8</f>
        <v>8.75</v>
      </c>
      <c r="K84" s="264">
        <f>O9</f>
        <v>3.112474899497183</v>
      </c>
      <c r="L84" s="265">
        <f>O10</f>
        <v>4</v>
      </c>
      <c r="M84" s="265">
        <f>O11</f>
        <v>13</v>
      </c>
      <c r="N84" s="264">
        <f>P8</f>
        <v>1.5</v>
      </c>
      <c r="O84" s="264">
        <f>P9</f>
        <v>0.5</v>
      </c>
      <c r="P84" s="265">
        <f>P10</f>
        <v>1</v>
      </c>
      <c r="Q84" s="265">
        <f>P11</f>
        <v>2</v>
      </c>
      <c r="R84" s="265">
        <f>F21</f>
        <v>2.5475</v>
      </c>
      <c r="S84" s="265">
        <f>L11</f>
        <v>0</v>
      </c>
      <c r="T84" s="265">
        <f>L12</f>
        <v>4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48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8.285714285714286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FISCRA</v>
      </c>
      <c r="U91" s="5">
        <f>IF(ISERROR(MATCH($T$93,'[1]liste reference'!$A$6:$A$1174,0)),MATCH($T$93,'[1]liste reference'!$B$6:$B$1174,0),(MATCH($T$93,'[1]liste reference'!$A$6:$A$1174,0)))</f>
        <v>255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6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FISCRA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2016-04-05T09:43:06Z</dcterms:created>
  <dcterms:modified xsi:type="dcterms:W3CDTF">2016-04-05T09:43:10Z</dcterms:modified>
  <cp:category/>
  <cp:version/>
  <cp:contentType/>
  <cp:contentStatus/>
</cp:coreProperties>
</file>