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<sst xmlns="http://schemas.openxmlformats.org/spreadsheetml/2006/main" count="217" uniqueCount="95">
  <si>
    <t>Relevés floristiques aquatiques - IBMR</t>
  </si>
  <si>
    <t>modèle Irstea-GIS</t>
  </si>
  <si>
    <t>SAGE ENVIRONNEMENT</t>
  </si>
  <si>
    <t>C. BERNARD PE. BELLY</t>
  </si>
  <si>
    <t>RHONE</t>
  </si>
  <si>
    <t>RHONE A CULOZ</t>
  </si>
  <si>
    <t>06072300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</si>
  <si>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</si>
  <si>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</si>
  <si>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</si>
  <si>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</si>
  <si>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</si>
  <si>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</si>
  <si>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</si>
  <si>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</si>
  <si>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</si>
  <si>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POTPEC</t>
  </si>
  <si>
    <t>Faciès dominant</t>
  </si>
  <si>
    <t>ch. lotique</t>
  </si>
  <si>
    <t>ch. lentique</t>
  </si>
  <si>
    <t>niveau trophique</t>
  </si>
  <si>
    <t>élevé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</si>
  <si>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</si>
  <si>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</si>
  <si>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</si>
  <si>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</si>
  <si>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</si>
  <si>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</si>
  <si>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</si>
  <si>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</si>
  <si>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</si>
  <si>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</si>
  <si>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</si>
  <si>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</si>
  <si>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</si>
  <si>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</si>
  <si>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</si>
  <si>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</si>
  <si>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</si>
  <si>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</si>
  <si>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</si>
  <si>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</si>
  <si>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</si>
  <si>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</si>
  <si>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</si>
  <si>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</si>
  <si>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</si>
  <si>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</si>
  <si>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</si>
  <si>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</si>
  <si>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</si>
  <si>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</si>
  <si>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</si>
  <si>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</si>
  <si>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</si>
  <si>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</si>
  <si>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</si>
  <si>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</si>
  <si>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</si>
  <si>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</si>
  <si>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</si>
  <si>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</si>
  <si>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</si>
  <si>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</si>
  <si>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</si>
  <si>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</si>
  <si>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</si>
  <si>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</si>
  <si>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</si>
  <si>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</si>
  <si>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</si>
  <si>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</si>
  <si>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</si>
  <si>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</si>
  <si>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</si>
  <si>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</si>
  <si>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</si>
  <si>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</si>
  <si>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</si>
  <si>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</si>
  <si>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</si>
  <si>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</si>
  <si>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</si>
  <si>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</si>
  <si>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SPISPX</t>
  </si>
  <si>
    <t>VAUSPX</t>
  </si>
  <si>
    <t>JUGATR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</si>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</sst>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RHOCU_01-10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O38" sqref="O38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42278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8.090909090909092</v>
      </c>
      <c r="N5" s="50"/>
      <c r="O5" s="51" t="s">
        <v>16</v>
      </c>
      <c r="P5" s="52">
        <v>11.571428571428571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28</v>
      </c>
      <c r="C7" s="68">
        <v>72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8.2</v>
      </c>
      <c r="P8" s="85">
        <f>IF(ISERROR(AVERAGE(K23:K82)),"  ",AVERAGE(K23:K82))</f>
        <v>1.6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0</v>
      </c>
      <c r="C9" s="88">
        <v>1.32</v>
      </c>
      <c r="D9" s="89"/>
      <c r="E9" s="89"/>
      <c r="F9" s="90">
        <f>($B9*$B$7+$C9*$C$7)/100</f>
        <v>0.9504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6.013318551349163</v>
      </c>
      <c r="P9" s="85">
        <f>IF(ISERROR(STDEVP(K23:K82)),"  ",STDEVP(K23:K82))</f>
        <v>0.8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33</v>
      </c>
      <c r="D10" s="89"/>
      <c r="E10" s="89"/>
      <c r="F10" s="90"/>
      <c r="G10" s="91"/>
      <c r="H10" s="56"/>
      <c r="I10" s="5"/>
      <c r="J10" s="97"/>
      <c r="K10" s="98" t="s">
        <v>34</v>
      </c>
      <c r="L10" s="99"/>
      <c r="M10" s="100"/>
      <c r="N10" s="84" t="s">
        <v>35</v>
      </c>
      <c r="O10" s="101">
        <f>MIN(J23:J82)</f>
        <v>2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36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37</v>
      </c>
      <c r="K11" s="109"/>
      <c r="L11" s="110">
        <f>COUNTIF($G$23:$G$82,"=HET")</f>
        <v>0</v>
      </c>
      <c r="M11" s="111"/>
      <c r="N11" s="84" t="s">
        <v>38</v>
      </c>
      <c r="O11" s="101">
        <f>MAX(J23:J82)</f>
        <v>19</v>
      </c>
      <c r="P11" s="101">
        <f>MAX(K23:K82)</f>
        <v>3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39</v>
      </c>
      <c r="B12" s="113"/>
      <c r="C12" s="114">
        <v>0.37</v>
      </c>
      <c r="D12" s="89"/>
      <c r="E12" s="89"/>
      <c r="F12" s="106">
        <f>($B12*$B$7+$C12*$C$7)/100</f>
        <v>0.2664</v>
      </c>
      <c r="G12" s="107"/>
      <c r="H12" s="56"/>
      <c r="I12" s="5"/>
      <c r="J12" s="108" t="s">
        <v>40</v>
      </c>
      <c r="K12" s="109"/>
      <c r="L12" s="110">
        <f>COUNTIF($G$23:$G$82,"=ALG")</f>
        <v>3</v>
      </c>
      <c r="M12" s="111"/>
      <c r="N12" s="115"/>
      <c r="O12" s="116" t="s">
        <v>34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41</v>
      </c>
      <c r="B13" s="113"/>
      <c r="C13" s="114">
        <v>0.06</v>
      </c>
      <c r="D13" s="89"/>
      <c r="E13" s="89"/>
      <c r="F13" s="106">
        <f>($B13*$B$7+$C13*$C$7)/100</f>
        <v>0.0432</v>
      </c>
      <c r="G13" s="107"/>
      <c r="H13" s="56"/>
      <c r="I13" s="5"/>
      <c r="J13" s="119" t="s">
        <v>42</v>
      </c>
      <c r="K13" s="109"/>
      <c r="L13" s="110">
        <f>COUNTIF($G$23:$G$82,"=BRm")+COUNTIF($G$23:$G$82,"=BRh")</f>
        <v>1</v>
      </c>
      <c r="M13" s="111"/>
      <c r="N13" s="120" t="s">
        <v>43</v>
      </c>
      <c r="O13" s="121">
        <f>COUNTIF(F23:F82,"&gt;0")</f>
        <v>5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44</v>
      </c>
      <c r="B14" s="113"/>
      <c r="C14" s="114">
        <v>0.89</v>
      </c>
      <c r="D14" s="89"/>
      <c r="E14" s="89"/>
      <c r="F14" s="106">
        <f>($B14*$B$7+$C14*$C$7)/100</f>
        <v>0.6408</v>
      </c>
      <c r="G14" s="107"/>
      <c r="H14" s="56"/>
      <c r="I14" s="5"/>
      <c r="J14" s="119" t="s">
        <v>45</v>
      </c>
      <c r="K14" s="109"/>
      <c r="L14" s="110">
        <f>COUNTIF($G$23:$G$82,"=PTE")+COUNTIF($G$23:$G$82,"=LIC")</f>
        <v>0</v>
      </c>
      <c r="M14" s="111"/>
      <c r="N14" s="123" t="s">
        <v>46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47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48</v>
      </c>
      <c r="K15" s="109"/>
      <c r="L15" s="110">
        <f>(COUNTIF($G$23:$G$82,"=PHy"))+(COUNTIF($G$23:$G$82,"=PHe"))+(COUNTIF($G$23:$G$82,"=PHg"))+(COUNTIF($G$23:$G$82,"=PHx"))</f>
        <v>1</v>
      </c>
      <c r="M15" s="111"/>
      <c r="N15" s="120" t="s">
        <v>49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50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51</v>
      </c>
      <c r="O16" s="121">
        <f>COUNTIF(K23:K82,"=2")</f>
        <v>1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52</v>
      </c>
      <c r="B17" s="113"/>
      <c r="C17" s="114">
        <v>1.32</v>
      </c>
      <c r="D17" s="89"/>
      <c r="E17" s="89"/>
      <c r="F17" s="133"/>
      <c r="G17" s="134">
        <f>($B17*$B$7+$C17*$C$7)/100</f>
        <v>0.9504</v>
      </c>
      <c r="H17" s="56"/>
      <c r="I17" s="5"/>
      <c r="J17" s="135"/>
      <c r="K17" s="136"/>
      <c r="L17" s="137" t="s">
        <v>53</v>
      </c>
      <c r="M17" s="138">
        <f>IF(ISERROR((O13-(COUNTIF(J23:J82,"nc")))/O13),"-",(O13-(COUNTIF(J23:J82,"nc")))/O13)</f>
        <v>1</v>
      </c>
      <c r="N17" s="120" t="s">
        <v>54</v>
      </c>
      <c r="O17" s="121">
        <f>COUNTIF(K23:K82,"=3")</f>
        <v>1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55</v>
      </c>
      <c r="B18" s="142"/>
      <c r="C18" s="143"/>
      <c r="D18" s="89"/>
      <c r="E18" s="144" t="s">
        <v>56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57</v>
      </c>
      <c r="X18" s="9" t="s">
        <v>57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0.9504000000000001</v>
      </c>
      <c r="G19" s="157">
        <f>SUM(G16:G18)</f>
        <v>0.9504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57</v>
      </c>
      <c r="X19" s="9" t="s">
        <v>57</v>
      </c>
    </row>
    <row r="20" spans="1:23" ht="12.75">
      <c r="A20" s="165" t="s">
        <v>58</v>
      </c>
      <c r="B20" s="166">
        <f>SUM(B23:B62)</f>
        <v>0</v>
      </c>
      <c r="C20" s="167">
        <f>SUM(C23:C62)</f>
        <v>1.321290322580645</v>
      </c>
      <c r="D20" s="168"/>
      <c r="E20" s="169" t="s">
        <v>56</v>
      </c>
      <c r="F20" s="170">
        <f>($B20*$B$7+$C20*$C$7)/100</f>
        <v>0.9513290322580643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59</v>
      </c>
      <c r="B21" s="178">
        <f>B20*B7/100</f>
        <v>0</v>
      </c>
      <c r="C21" s="178">
        <f>C20*C7/100</f>
        <v>0.9513290322580643</v>
      </c>
      <c r="D21" s="179" t="s">
        <v>60</v>
      </c>
      <c r="E21" s="180"/>
      <c r="F21" s="181">
        <f>B21+C21</f>
        <v>0.9513290322580643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61</v>
      </c>
    </row>
    <row r="22" spans="1:26" ht="12.75">
      <c r="A22" s="190" t="s">
        <v>62</v>
      </c>
      <c r="B22" s="191" t="s">
        <v>63</v>
      </c>
      <c r="C22" s="191" t="s">
        <v>63</v>
      </c>
      <c r="D22" s="192"/>
      <c r="E22" s="193"/>
      <c r="F22" s="194" t="s">
        <v>64</v>
      </c>
      <c r="G22" s="195" t="s">
        <v>65</v>
      </c>
      <c r="H22" s="89" t="s">
        <v>66</v>
      </c>
      <c r="I22" s="5" t="s">
        <v>67</v>
      </c>
      <c r="J22" s="196" t="s">
        <v>68</v>
      </c>
      <c r="K22" s="196" t="s">
        <v>69</v>
      </c>
      <c r="L22" s="197" t="s">
        <v>70</v>
      </c>
      <c r="M22" s="197"/>
      <c r="N22" s="197"/>
      <c r="O22" s="197"/>
      <c r="P22" s="189" t="s">
        <v>71</v>
      </c>
      <c r="Q22" s="198" t="s">
        <v>72</v>
      </c>
      <c r="R22" s="199" t="s">
        <v>73</v>
      </c>
      <c r="S22" s="200" t="s">
        <v>74</v>
      </c>
      <c r="T22" s="201" t="s">
        <v>75</v>
      </c>
      <c r="U22" s="201" t="s">
        <v>76</v>
      </c>
      <c r="V22" s="202" t="s">
        <v>77</v>
      </c>
      <c r="W22" s="203" t="s">
        <v>78</v>
      </c>
      <c r="X22" s="204" t="s">
        <v>79</v>
      </c>
      <c r="Y22" s="205" t="s">
        <v>80</v>
      </c>
      <c r="Z22" s="205" t="s">
        <v>81</v>
      </c>
    </row>
    <row r="23" spans="1:26" ht="12.75">
      <c r="A23" s="206" t="s">
        <v>82</v>
      </c>
      <c r="B23" s="207">
        <v>0</v>
      </c>
      <c r="C23" s="208">
        <v>0.1387096774193548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0.09987096774193546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83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>IF(ISTEXT(H23),"",(B23*$B$7/100)+(C23*$C$7/100))</f>
        <v>0.09987096774193546</v>
      </c>
      <c r="S23" s="220">
        <f>IF(OR(ISTEXT(H23),R23=0),"",IF(R23&lt;0.1,1,IF(R23&lt;1,2,IF(R23&lt;10,3,IF(R23&lt;50,4,IF(R23&gt;=50,5,""))))))</f>
        <v>1</v>
      </c>
      <c r="T23" s="220">
        <f>IF(ISERROR(S23*J23),0,S23*J23)</f>
        <v>6</v>
      </c>
      <c r="U23" s="220">
        <f>IF(ISERROR(S23*J23*K23),0,S23*J23*K23)</f>
        <v>6</v>
      </c>
      <c r="V23" s="220">
        <f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84</v>
      </c>
      <c r="B24" s="225">
        <v>0</v>
      </c>
      <c r="C24" s="226">
        <v>0.027741935483870966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Spirogyra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0.019974193548387097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10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1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Spirogyra sp.</v>
      </c>
      <c r="M24" s="233"/>
      <c r="N24" s="233"/>
      <c r="O24" s="233"/>
      <c r="P24" s="234" t="s">
        <v>83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1147</v>
      </c>
      <c r="R24" s="219">
        <f>IF(ISTEXT(H24),"",(B24*$B$7/100)+(C24*$C$7/100))</f>
        <v>0.019974193548387097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10</v>
      </c>
      <c r="U24" s="220">
        <f>IF(ISERROR(S24*J24*K24),0,S24*J24*K24)</f>
        <v>10</v>
      </c>
      <c r="V24" s="236">
        <f>IF(ISERROR(S24*K24),0,S24*K24)</f>
        <v>1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SPISPX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102</v>
      </c>
    </row>
    <row r="25" spans="1:26" ht="12.75">
      <c r="A25" s="224" t="s">
        <v>85</v>
      </c>
      <c r="B25" s="225">
        <v>0</v>
      </c>
      <c r="C25" s="226">
        <v>0.20322580645161287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Vaucheria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0.14632258064516127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4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Vaucheria sp.</v>
      </c>
      <c r="M25" s="233"/>
      <c r="N25" s="233"/>
      <c r="O25" s="233"/>
      <c r="P25" s="234" t="s">
        <v>83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1169</v>
      </c>
      <c r="R25" s="219">
        <f>IF(ISTEXT(H25),"",(B25*$B$7/100)+(C25*$C$7/100))</f>
        <v>0.14632258064516127</v>
      </c>
      <c r="S25" s="220">
        <f>IF(OR(ISTEXT(H25),R25=0),"",IF(R25&lt;0.1,1,IF(R25&lt;1,2,IF(R25&lt;10,3,IF(R25&lt;50,4,IF(R25&gt;=50,5,""))))))</f>
        <v>2</v>
      </c>
      <c r="T25" s="220">
        <f>IF(ISERROR(S25*J25),0,S25*J25)</f>
        <v>8</v>
      </c>
      <c r="U25" s="220">
        <f>IF(ISERROR(S25*J25*K25),0,S25*J25*K25)</f>
        <v>8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VAUSPX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118</v>
      </c>
    </row>
    <row r="26" spans="1:26" ht="12.75">
      <c r="A26" s="224" t="s">
        <v>86</v>
      </c>
      <c r="B26" s="225">
        <v>0</v>
      </c>
      <c r="C26" s="226">
        <v>0.06451612903225806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Jungermannia atrovirens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0.0464516129032258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BRh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4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19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3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Jungermannia atrovirens</v>
      </c>
      <c r="M26" s="233"/>
      <c r="N26" s="233"/>
      <c r="O26" s="233"/>
      <c r="P26" s="234" t="s">
        <v>83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19820</v>
      </c>
      <c r="R26" s="219">
        <f>IF(ISTEXT(H26),"",(B26*$B$7/100)+(C26*$C$7/100))</f>
        <v>0.0464516129032258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19</v>
      </c>
      <c r="U26" s="220">
        <f>IF(ISERROR(S26*J26*K26),0,S26*J26*K26)</f>
        <v>57</v>
      </c>
      <c r="V26" s="236">
        <f>IF(ISERROR(S26*K26),0,S26*K26)</f>
        <v>3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JUGATR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142</v>
      </c>
    </row>
    <row r="27" spans="1:26" ht="12.75">
      <c r="A27" s="224" t="s">
        <v>16</v>
      </c>
      <c r="B27" s="225">
        <v>0</v>
      </c>
      <c r="C27" s="226">
        <v>0.8870967741935483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Potamogeton pectinatus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0.6387096774193547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PHy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7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2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Potamogeton pectinatus</v>
      </c>
      <c r="M27" s="233"/>
      <c r="N27" s="233"/>
      <c r="O27" s="233"/>
      <c r="P27" s="234" t="s">
        <v>83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1655</v>
      </c>
      <c r="R27" s="219">
        <f>IF(ISTEXT(H27),"",(B27*$B$7/100)+(C27*$C$7/100))</f>
        <v>0.6387096774193547</v>
      </c>
      <c r="S27" s="220">
        <f>IF(OR(ISTEXT(H27),R27=0),"",IF(R27&lt;0.1,1,IF(R27&lt;1,2,IF(R27&lt;10,3,IF(R27&lt;50,4,IF(R27&gt;=50,5,""))))))</f>
        <v>2</v>
      </c>
      <c r="T27" s="220">
        <f>IF(ISERROR(S27*J27),0,S27*J27)</f>
        <v>4</v>
      </c>
      <c r="U27" s="220">
        <f>IF(ISERROR(S27*J27*K27),0,S27*J27*K27)</f>
        <v>8</v>
      </c>
      <c r="V27" s="236">
        <f>IF(ISERROR(S27*K27),0,S27*K27)</f>
        <v>4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POTPEC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532</v>
      </c>
    </row>
    <row r="28" spans="1:26" ht="12.75">
      <c r="A28" s="224" t="s">
        <v>57</v>
      </c>
      <c r="B28" s="225"/>
      <c r="C28" s="226"/>
      <c r="D28" s="227">
        <f>IF(ISERROR(VLOOKUP($A28,'[1]liste reference'!$A$6:$B$1174,2,0)),IF(ISERROR(VLOOKUP($A28,'[1]liste reference'!$B$6:$B$1174,1,0)),"",VLOOKUP($A28,'[1]liste reference'!$B$6:$B$1174,1,0)),VLOOKUP($A28,'[1]liste reference'!$A$6:$B$1174,2,0))</f>
      </c>
      <c r="E28" s="228">
        <f>IF(D28="",,VLOOKUP(D28,D$22:D27,1,0))</f>
        <v>0</v>
      </c>
      <c r="F28" s="229">
        <f>IF(AND(OR(A28="",A28="!!!!!!"),B28="",C28=""),"",IF(OR(AND(B28="",C28=""),ISERROR(C28+B28)),"!!!",($B28*$B$7+$C28*$C$7)/100))</f>
      </c>
      <c r="G28" s="230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</c>
      <c r="H28" s="231" t="str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x</v>
      </c>
      <c r="I28" s="5">
        <f>IF(A28="","",1)</f>
      </c>
      <c r="J28" s="232" t="str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nu</v>
      </c>
      <c r="K28" s="232" t="str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nu</v>
      </c>
      <c r="L28" s="215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</c>
      <c r="M28" s="233"/>
      <c r="N28" s="233"/>
      <c r="O28" s="233"/>
      <c r="P28" s="234" t="s">
        <v>83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</c>
      <c r="R28" s="219">
        <f>IF(ISTEXT(H28),"",(B28*$B$7/100)+(C28*$C$7/100))</f>
      </c>
      <c r="S28" s="220">
        <f>IF(OR(ISTEXT(H28),R28=0),"",IF(R28&lt;0.1,1,IF(R28&lt;1,2,IF(R28&lt;10,3,IF(R28&lt;50,4,IF(R28&gt;=50,5,""))))))</f>
      </c>
      <c r="T28" s="220">
        <f>IF(ISERROR(S28*J28),0,S28*J28)</f>
        <v>0</v>
      </c>
      <c r="U28" s="220">
        <f>IF(ISERROR(S28*J28*K28),0,S28*J28*K28)</f>
        <v>0</v>
      </c>
      <c r="V28" s="236">
        <f>IF(ISERROR(S28*K28),0,S28*K28)</f>
        <v>0</v>
      </c>
      <c r="W28" s="237"/>
      <c r="X28" s="238"/>
      <c r="Y28" s="223">
        <f>IF(AND(ISNUMBER(F28),OR(A28="",A28="!!!!!!")),"!!!!!!",IF(A28="new.cod","NEWCOD",IF(AND((Z28=""),ISTEXT(A28),A28&lt;&gt;"!!!!!!"),A28,IF(Z28="","",INDEX('[1]liste reference'!$A$6:$A$1174,Z28)))))</f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</c>
    </row>
    <row r="29" spans="1:26" ht="12.75">
      <c r="A29" s="224" t="s">
        <v>57</v>
      </c>
      <c r="B29" s="225"/>
      <c r="C29" s="226"/>
      <c r="D29" s="227">
        <f>IF(ISERROR(VLOOKUP($A29,'[1]liste reference'!$A$6:$B$1174,2,0)),IF(ISERROR(VLOOKUP($A29,'[1]liste reference'!$B$6:$B$1174,1,0)),"",VLOOKUP($A29,'[1]liste reference'!$B$6:$B$1174,1,0)),VLOOKUP($A29,'[1]liste reference'!$A$6:$B$1174,2,0))</f>
      </c>
      <c r="E29" s="228">
        <f>IF(D29="",,VLOOKUP(D29,D$22:D28,1,0))</f>
        <v>0</v>
      </c>
      <c r="F29" s="229">
        <f>IF(AND(OR(A29="",A29="!!!!!!"),B29="",C29=""),"",IF(OR(AND(B29="",C29=""),ISERROR(C29+B29)),"!!!",($B29*$B$7+$C29*$C$7)/100))</f>
      </c>
      <c r="G29" s="230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</c>
      <c r="H29" s="231" t="str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x</v>
      </c>
      <c r="I29" s="5">
        <f>IF(A29="","",1)</f>
      </c>
      <c r="J29" s="232" t="str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nu</v>
      </c>
      <c r="K29" s="232" t="str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nu</v>
      </c>
      <c r="L29" s="215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</c>
      <c r="M29" s="233"/>
      <c r="N29" s="233"/>
      <c r="O29" s="233"/>
      <c r="P29" s="234" t="s">
        <v>83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</c>
      <c r="R29" s="219">
        <f>IF(ISTEXT(H29),"",(B29*$B$7/100)+(C29*$C$7/100))</f>
      </c>
      <c r="S29" s="220">
        <f>IF(OR(ISTEXT(H29),R29=0),"",IF(R29&lt;0.1,1,IF(R29&lt;1,2,IF(R29&lt;10,3,IF(R29&lt;50,4,IF(R29&gt;=50,5,""))))))</f>
      </c>
      <c r="T29" s="220">
        <f>IF(ISERROR(S29*J29),0,S29*J29)</f>
        <v>0</v>
      </c>
      <c r="U29" s="220">
        <f>IF(ISERROR(S29*J29*K29),0,S29*J29*K29)</f>
        <v>0</v>
      </c>
      <c r="V29" s="236">
        <f>IF(ISERROR(S29*K29),0,S29*K29)</f>
        <v>0</v>
      </c>
      <c r="W29" s="237"/>
      <c r="X29" s="238"/>
      <c r="Y29" s="223">
        <f>IF(AND(ISNUMBER(F29),OR(A29="",A29="!!!!!!")),"!!!!!!",IF(A29="new.cod","NEWCOD",IF(AND((Z29=""),ISTEXT(A29),A29&lt;&gt;"!!!!!!"),A29,IF(Z29="","",INDEX('[1]liste reference'!$A$6:$A$1174,Z29)))))</f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</c>
    </row>
    <row r="30" spans="1:26" ht="12.75">
      <c r="A30" s="224" t="s">
        <v>57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>IF(AND(OR(A30="",A30="!!!!!!"),B30="",C30=""),"",IF(OR(AND(B30="",C30=""),ISERROR(C30+B30)),"!!!",($B30*$B$7+$C30*$C$7)/100))</f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>IF(A30="","",1)</f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83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>IF(ISTEXT(H30),"",(B30*$B$7/100)+(C30*$C$7/100))</f>
      </c>
      <c r="S30" s="220">
        <f>IF(OR(ISTEXT(H30),R30=0),"",IF(R30&lt;0.1,1,IF(R30&lt;1,2,IF(R30&lt;10,3,IF(R30&lt;50,4,IF(R30&gt;=50,5,""))))))</f>
      </c>
      <c r="T30" s="220">
        <f>IF(ISERROR(S30*J30),0,S30*J30)</f>
        <v>0</v>
      </c>
      <c r="U30" s="220">
        <f>IF(ISERROR(S30*J30*K30),0,S30*J30*K30)</f>
        <v>0</v>
      </c>
      <c r="V30" s="236">
        <f>IF(ISERROR(S30*K30),0,S30*K30)</f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57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>IF(AND(OR(A31="",A31="!!!!!!"),B31="",C31=""),"",IF(OR(AND(B31="",C31=""),ISERROR(C31+B31)),"!!!",($B31*$B$7+$C31*$C$7)/100))</f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>IF(A31="","",1)</f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83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>IF(ISTEXT(H31),"",(B31*$B$7/100)+(C31*$C$7/100))</f>
      </c>
      <c r="S31" s="220">
        <f>IF(OR(ISTEXT(H31),R31=0),"",IF(R31&lt;0.1,1,IF(R31&lt;1,2,IF(R31&lt;10,3,IF(R31&lt;50,4,IF(R31&gt;=50,5,""))))))</f>
      </c>
      <c r="T31" s="220">
        <f>IF(ISERROR(S31*J31),0,S31*J31)</f>
        <v>0</v>
      </c>
      <c r="U31" s="220">
        <f>IF(ISERROR(S31*J31*K31),0,S31*J31*K31)</f>
        <v>0</v>
      </c>
      <c r="V31" s="236">
        <f>IF(ISERROR(S31*K31),0,S31*K31)</f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57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>IF(AND(OR(A32="",A32="!!!!!!"),B32="",C32=""),"",IF(OR(AND(B32="",C32=""),ISERROR(C32+B32)),"!!!",($B32*$B$7+$C32*$C$7)/100))</f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>IF(A32="","",1)</f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83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>IF(ISTEXT(H32),"",(B32*$B$7/100)+(C32*$C$7/100))</f>
      </c>
      <c r="S32" s="220">
        <f>IF(OR(ISTEXT(H32),R32=0),"",IF(R32&lt;0.1,1,IF(R32&lt;1,2,IF(R32&lt;10,3,IF(R32&lt;50,4,IF(R32&gt;=50,5,""))))))</f>
      </c>
      <c r="T32" s="220">
        <f>IF(ISERROR(S32*J32),0,S32*J32)</f>
        <v>0</v>
      </c>
      <c r="U32" s="220">
        <f>IF(ISERROR(S32*J32*K32),0,S32*J32*K32)</f>
        <v>0</v>
      </c>
      <c r="V32" s="236">
        <f>IF(ISERROR(S32*K32),0,S32*K32)</f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57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>IF(AND(OR(A33="",A33="!!!!!!"),B33="",C33=""),"",IF(OR(AND(B33="",C33=""),ISERROR(C33+B33)),"!!!",($B33*$B$7+$C33*$C$7)/100))</f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>IF(A33="","",1)</f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83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>IF(ISTEXT(H33),"",(B33*$B$7/100)+(C33*$C$7/100))</f>
      </c>
      <c r="S33" s="220">
        <f>IF(OR(ISTEXT(H33),R33=0),"",IF(R33&lt;0.1,1,IF(R33&lt;1,2,IF(R33&lt;10,3,IF(R33&lt;50,4,IF(R33&gt;=50,5,""))))))</f>
      </c>
      <c r="T33" s="220">
        <f>IF(ISERROR(S33*J33),0,S33*J33)</f>
        <v>0</v>
      </c>
      <c r="U33" s="220">
        <f>IF(ISERROR(S33*J33*K33),0,S33*J33*K33)</f>
        <v>0</v>
      </c>
      <c r="V33" s="236">
        <f>IF(ISERROR(S33*K33),0,S33*K33)</f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57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>IF(AND(OR(A34="",A34="!!!!!!"),B34="",C34=""),"",IF(OR(AND(B34="",C34=""),ISERROR(C34+B34)),"!!!",($B34*$B$7+$C34*$C$7)/100))</f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>IF(A34="","",1)</f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83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>IF(ISTEXT(H34),"",(B34*$B$7/100)+(C34*$C$7/100))</f>
      </c>
      <c r="S34" s="220">
        <f>IF(OR(ISTEXT(H34),R34=0),"",IF(R34&lt;0.1,1,IF(R34&lt;1,2,IF(R34&lt;10,3,IF(R34&lt;50,4,IF(R34&gt;=50,5,""))))))</f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57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>IF(AND(OR(A35="",A35="!!!!!!"),B35="",C35=""),"",IF(OR(AND(B35="",C35=""),ISERROR(C35+B35)),"!!!",($B35*$B$7+$C35*$C$7)/100))</f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>IF(A35="","",1)</f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83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>IF(ISTEXT(H35),"",(B35*$B$7/100)+(C35*$C$7/100))</f>
      </c>
      <c r="S35" s="220">
        <f>IF(OR(ISTEXT(H35),R35=0),"",IF(R35&lt;0.1,1,IF(R35&lt;1,2,IF(R35&lt;10,3,IF(R35&lt;50,4,IF(R35&gt;=50,5,""))))))</f>
      </c>
      <c r="T35" s="220">
        <f>IF(ISERROR(S35*J35),0,S35*J35)</f>
        <v>0</v>
      </c>
      <c r="U35" s="220">
        <f>IF(ISERROR(S35*J35*K35),0,S35*J35*K35)</f>
        <v>0</v>
      </c>
      <c r="V35" s="236">
        <f>IF(ISERROR(S35*K35),0,S35*K35)</f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57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>IF(AND(OR(A36="",A36="!!!!!!"),B36="",C36=""),"",IF(OR(AND(B36="",C36=""),ISERROR(C36+B36)),"!!!",($B36*$B$7+$C36*$C$7)/100))</f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>IF(A36="","",1)</f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83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>IF(ISTEXT(H36),"",(B36*$B$7/100)+(C36*$C$7/100))</f>
      </c>
      <c r="S36" s="220">
        <f>IF(OR(ISTEXT(H36),R36=0),"",IF(R36&lt;0.1,1,IF(R36&lt;1,2,IF(R36&lt;10,3,IF(R36&lt;50,4,IF(R36&gt;=50,5,""))))))</f>
      </c>
      <c r="T36" s="220">
        <f>IF(ISERROR(S36*J36),0,S36*J36)</f>
        <v>0</v>
      </c>
      <c r="U36" s="220">
        <f>IF(ISERROR(S36*J36*K36),0,S36*J36*K36)</f>
        <v>0</v>
      </c>
      <c r="V36" s="236">
        <f>IF(ISERROR(S36*K36),0,S36*K36)</f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57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83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57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83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57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83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57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83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57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83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57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83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57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83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57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83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57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83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57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83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57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83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57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83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57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83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57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83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57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83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57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83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57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83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57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83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57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83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57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83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57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83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57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83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57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83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57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83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57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83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57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83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57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83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57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83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57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83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57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83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57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83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57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83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57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83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57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83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57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83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57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83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57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83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57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83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57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83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57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83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57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83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57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83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57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83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57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83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57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83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57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83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0.9513290322580643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11</v>
      </c>
      <c r="W83" s="220"/>
      <c r="X83" s="258"/>
      <c r="Y83" s="258"/>
      <c r="Z83" s="259"/>
    </row>
    <row r="84" spans="1:26" ht="12.75" hidden="1">
      <c r="A84" s="253" t="str">
        <f>A3</f>
        <v>RHONE</v>
      </c>
      <c r="B84" s="187" t="str">
        <f>C3</f>
        <v>RHONE A CULOZ</v>
      </c>
      <c r="C84" s="260" t="str">
        <f>A4</f>
        <v>(Date)</v>
      </c>
      <c r="D84" s="261">
        <f>IF(OR(ISERROR(SUM($U$23:$U$82)/SUM($V$23:$V$82)),F7&lt;&gt;100),-1,SUM($U$23:$U$82)/SUM($V$23:$V$82))</f>
        <v>8.090909090909092</v>
      </c>
      <c r="E84" s="262">
        <f>O13</f>
        <v>5</v>
      </c>
      <c r="F84" s="187">
        <f>O14</f>
        <v>5</v>
      </c>
      <c r="G84" s="187">
        <f>O15</f>
        <v>3</v>
      </c>
      <c r="H84" s="187">
        <f>O16</f>
        <v>1</v>
      </c>
      <c r="I84" s="187">
        <f>O17</f>
        <v>1</v>
      </c>
      <c r="J84" s="263">
        <f>O8</f>
        <v>8.2</v>
      </c>
      <c r="K84" s="264">
        <f>O9</f>
        <v>6.013318551349163</v>
      </c>
      <c r="L84" s="265">
        <f>O10</f>
        <v>2</v>
      </c>
      <c r="M84" s="265">
        <f>O11</f>
        <v>19</v>
      </c>
      <c r="N84" s="264">
        <f>P8</f>
        <v>1.6</v>
      </c>
      <c r="O84" s="264">
        <f>P9</f>
        <v>0.8</v>
      </c>
      <c r="P84" s="265">
        <f>P10</f>
        <v>1</v>
      </c>
      <c r="Q84" s="265">
        <f>P11</f>
        <v>3</v>
      </c>
      <c r="R84" s="265">
        <f>F21</f>
        <v>0.9513290322580643</v>
      </c>
      <c r="S84" s="265">
        <f>L11</f>
        <v>0</v>
      </c>
      <c r="T84" s="265">
        <f>L12</f>
        <v>3</v>
      </c>
      <c r="U84" s="265">
        <f>L13</f>
        <v>1</v>
      </c>
      <c r="V84" s="266">
        <f>L15</f>
        <v>1</v>
      </c>
      <c r="W84" s="267">
        <f>L15</f>
        <v>1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87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88</v>
      </c>
      <c r="S87" s="5"/>
      <c r="T87" s="272">
        <f>VLOOKUP($T$91,($A$23:$U$82),20,FALSE)</f>
        <v>4</v>
      </c>
      <c r="U87" s="5"/>
      <c r="V87" s="5"/>
    </row>
    <row r="88" spans="3:22" ht="12.75" hidden="1">
      <c r="C88" s="269"/>
      <c r="D88" s="269"/>
      <c r="E88" s="269"/>
      <c r="R88" s="5" t="s">
        <v>89</v>
      </c>
      <c r="S88" s="5"/>
      <c r="T88" s="272">
        <f>VLOOKUP($T$91,($A$23:$U$82),21,FALSE)</f>
        <v>8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90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91</v>
      </c>
      <c r="S90" s="5" t="s">
        <v>10</v>
      </c>
      <c r="T90" s="273">
        <f>IF(OR(ISERROR(SUM($U$23:$U$82)/SUM($V$23:$V$82)),F7&lt;&gt;100),-1,(SUM($U$23:$U$82)-T88)/(SUM($V$23:$V$82)-T89))</f>
        <v>11.571428571428571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92</v>
      </c>
      <c r="S91" s="220"/>
      <c r="T91" s="220" t="str">
        <f>INDEX('[1]liste reference'!$A$6:$A$1174,$U$91)</f>
        <v>POTPEC</v>
      </c>
      <c r="U91" s="5">
        <f>IF(ISERROR(MATCH($T$93,'[1]liste reference'!$A$6:$A$1174,0)),MATCH($T$93,'[1]liste reference'!$B$6:$B$1174,0),(MATCH($T$93,'[1]liste reference'!$A$6:$A$1174,0)))</f>
        <v>532</v>
      </c>
      <c r="V91" s="274"/>
    </row>
    <row r="92" spans="3:21" ht="12.75" hidden="1">
      <c r="C92" s="269"/>
      <c r="D92" s="269"/>
      <c r="E92" s="269"/>
      <c r="R92" s="5" t="s">
        <v>93</v>
      </c>
      <c r="S92" s="5"/>
      <c r="T92" s="5">
        <f>MATCH(T89,$V$23:$V$82,0)</f>
        <v>5</v>
      </c>
      <c r="U92" s="5"/>
    </row>
    <row r="93" spans="3:21" ht="12.75" hidden="1">
      <c r="C93" s="269"/>
      <c r="D93" s="269"/>
      <c r="E93" s="269"/>
      <c r="R93" s="220" t="s">
        <v>94</v>
      </c>
      <c r="S93" s="5"/>
      <c r="T93" s="220" t="str">
        <f>INDEX($A$23:$A$82,$T$92)</f>
        <v>POTPEC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2016-04-06T09:16:30Z</dcterms:created>
  <dcterms:modified xsi:type="dcterms:W3CDTF">2016-04-06T09:16:33Z</dcterms:modified>
  <cp:category/>
  <cp:version/>
  <cp:contentType/>
  <cp:contentStatus/>
</cp:coreProperties>
</file>