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<sst xmlns="http://schemas.openxmlformats.org/spreadsheetml/2006/main" count="219" uniqueCount="99">
  <si>
    <t>Relevés floristiques aquatiques - IBMR</t>
  </si>
  <si>
    <t xml:space="preserve">Formulaire modèle GIS Macrophytes v 3.3 - novembre 2013  </t>
  </si>
  <si>
    <t>SAGE</t>
  </si>
  <si>
    <t>L. BOURGOIN M. SCHNEIDER</t>
  </si>
  <si>
    <t>conforme AFNOR T90-395 oct. 2003</t>
  </si>
  <si>
    <t>Guiers Mort</t>
  </si>
  <si>
    <t>Guiers Mort à Saint Laurent du Pont</t>
  </si>
  <si>
    <t>06078200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</si>
  <si>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</si>
  <si>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</si>
  <si>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</si>
  <si>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</si>
  <si>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</si>
  <si>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</si>
  <si>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</si>
  <si>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</si>
  <si>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CINAQU</t>
  </si>
  <si>
    <t>Faciès dominant</t>
  </si>
  <si>
    <t>radier</t>
  </si>
  <si>
    <t>plat lentique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</si>
  <si>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</si>
  <si>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</si>
  <si>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</si>
  <si>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</si>
  <si>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</si>
  <si>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</si>
  <si>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</si>
  <si>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</si>
  <si>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</si>
  <si>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</si>
  <si>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</si>
  <si>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</si>
  <si>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</si>
  <si>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</si>
  <si>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</si>
  <si>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</si>
  <si>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</si>
  <si>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</si>
  <si>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</si>
  <si>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</si>
  <si>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</si>
  <si>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</si>
  <si>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</si>
  <si>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</si>
  <si>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</si>
  <si>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</si>
  <si>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</si>
  <si>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</si>
  <si>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</si>
  <si>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</si>
  <si>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</si>
  <si>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</si>
  <si>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</si>
  <si>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</si>
  <si>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</si>
  <si>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</si>
  <si>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</si>
  <si>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</si>
  <si>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</si>
  <si>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</si>
  <si>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</si>
  <si>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</si>
  <si>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</si>
  <si>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</si>
  <si>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</si>
  <si>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</si>
  <si>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</si>
  <si>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</si>
  <si>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</si>
  <si>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</si>
  <si>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</si>
  <si>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</si>
  <si>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</si>
  <si>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</si>
  <si>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</si>
  <si>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</si>
  <si>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</si>
  <si>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</si>
  <si>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</si>
  <si>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</si>
  <si>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DIASPX</t>
  </si>
  <si>
    <t>LEASPX</t>
  </si>
  <si>
    <t>MELSPX</t>
  </si>
  <si>
    <t>MICSPX</t>
  </si>
  <si>
    <t>PHOSPX</t>
  </si>
  <si>
    <t>VAUSPX</t>
  </si>
  <si>
    <t>AMBFLU</t>
  </si>
  <si>
    <t>CINRIP</t>
  </si>
  <si>
    <t>FONANT</t>
  </si>
  <si>
    <t>RHYRIP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</si>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</sst>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47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47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1" borderId="39" xfId="0" applyFont="1" applyFill="1" applyBorder="1" applyAlignment="1" applyProtection="1">
      <alignment horizontal="center" vertical="top"/>
      <protection hidden="1"/>
    </xf>
    <xf numFmtId="0" fontId="33" fillId="35" borderId="26" xfId="0" applyFont="1" applyFill="1" applyBorder="1" applyAlignment="1" applyProtection="1">
      <alignment horizontal="center" vertical="top"/>
      <protection hidden="1"/>
    </xf>
    <xf numFmtId="0" fontId="34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5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6" fillId="39" borderId="41" xfId="0" applyFont="1" applyFill="1" applyBorder="1" applyAlignment="1" applyProtection="1">
      <alignment horizontal="left" vertical="top"/>
      <protection hidden="1"/>
    </xf>
    <xf numFmtId="0" fontId="37" fillId="39" borderId="22" xfId="0" applyFont="1" applyFill="1" applyBorder="1" applyAlignment="1" applyProtection="1">
      <alignment horizontal="left" vertical="top"/>
      <protection hidden="1"/>
    </xf>
    <xf numFmtId="0" fontId="37" fillId="39" borderId="42" xfId="0" applyFont="1" applyFill="1" applyBorder="1" applyAlignment="1" applyProtection="1">
      <alignment horizontal="left" vertical="top"/>
      <protection hidden="1"/>
    </xf>
    <xf numFmtId="0" fontId="37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8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9" fillId="38" borderId="11" xfId="0" applyNumberFormat="1" applyFont="1" applyFill="1" applyBorder="1" applyAlignment="1" applyProtection="1">
      <alignment horizontal="right"/>
      <protection hidden="1"/>
    </xf>
    <xf numFmtId="165" fontId="39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40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8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6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7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38" borderId="10" xfId="0" applyFont="1" applyFill="1" applyBorder="1" applyAlignment="1" applyProtection="1">
      <alignment/>
      <protection hidden="1"/>
    </xf>
    <xf numFmtId="0" fontId="41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0" fontId="43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3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1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4" fillId="40" borderId="0" xfId="0" applyFont="1" applyFill="1" applyBorder="1" applyAlignment="1" applyProtection="1">
      <alignment/>
      <protection hidden="1"/>
    </xf>
    <xf numFmtId="0" fontId="44" fillId="40" borderId="22" xfId="0" applyFont="1" applyFill="1" applyBorder="1" applyAlignment="1" applyProtection="1">
      <alignment/>
      <protection hidden="1"/>
    </xf>
    <xf numFmtId="0" fontId="44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3" fillId="40" borderId="27" xfId="0" applyFont="1" applyFill="1" applyBorder="1" applyAlignment="1" applyProtection="1">
      <alignment horizontal="center"/>
      <protection hidden="1"/>
    </xf>
    <xf numFmtId="165" fontId="43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6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5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3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3" fillId="34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4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3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5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5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5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3" fillId="38" borderId="81" xfId="0" applyFont="1" applyFill="1" applyBorder="1" applyAlignment="1" applyProtection="1">
      <alignment horizontal="right"/>
      <protection hidden="1"/>
    </xf>
    <xf numFmtId="0" fontId="43" fillId="38" borderId="81" xfId="0" applyFont="1" applyFill="1" applyBorder="1" applyAlignment="1">
      <alignment horizontal="right"/>
    </xf>
    <xf numFmtId="0" fontId="44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GUIMO_15-09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C23" sqref="C23:C29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41897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11.878787878787879</v>
      </c>
      <c r="M5" s="52"/>
      <c r="N5" s="53" t="s">
        <v>16</v>
      </c>
      <c r="O5" s="54">
        <v>11.185185185185185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80</v>
      </c>
      <c r="C7" s="66">
        <v>20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11.083333333333334</v>
      </c>
      <c r="O8" s="84">
        <f>IF(ISERROR(AVERAGE(J23:J82)),"      -",AVERAGE(J23:J82))</f>
        <v>1.5833333333333333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9.53</v>
      </c>
      <c r="C9" s="87">
        <v>3.72</v>
      </c>
      <c r="D9" s="88"/>
      <c r="E9" s="88"/>
      <c r="F9" s="89">
        <f>($B9*$B$7+$C9*$C$7)/100</f>
        <v>8.368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3.147971127920684</v>
      </c>
      <c r="O9" s="84">
        <f>IF(ISERROR(STDEVP(J23:J82)),"      -",STDEVP(J23:J82))</f>
        <v>0.4930066485916347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4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15</v>
      </c>
      <c r="O11" s="106">
        <f>MAX(J23:J82)</f>
        <v>2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>
        <v>1.02</v>
      </c>
      <c r="C12" s="120">
        <v>2.51</v>
      </c>
      <c r="D12" s="111"/>
      <c r="E12" s="111"/>
      <c r="F12" s="112">
        <f>($B12*$B$7+$C12*$C$7)/100</f>
        <v>1.3179999999999998</v>
      </c>
      <c r="G12" s="121"/>
      <c r="H12" s="67"/>
      <c r="I12" s="122" t="s">
        <v>39</v>
      </c>
      <c r="J12" s="123"/>
      <c r="K12" s="116">
        <f>COUNTIF($G$23:$G$82,"=ALG")</f>
        <v>7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>
        <v>8.51</v>
      </c>
      <c r="C13" s="120">
        <v>1.21</v>
      </c>
      <c r="D13" s="111"/>
      <c r="E13" s="111"/>
      <c r="F13" s="112">
        <f>($B13*$B$7+$C13*$C$7)/100</f>
        <v>7.05</v>
      </c>
      <c r="G13" s="121"/>
      <c r="H13" s="67"/>
      <c r="I13" s="129" t="s">
        <v>41</v>
      </c>
      <c r="J13" s="123"/>
      <c r="K13" s="116">
        <f>COUNTIF($G$23:$G$82,"=BRm")+COUNTIF($G$23:$G$82,"=BRh")</f>
        <v>5</v>
      </c>
      <c r="L13" s="117"/>
      <c r="M13" s="130" t="s">
        <v>42</v>
      </c>
      <c r="N13" s="131">
        <f>COUNTIF(F23:F82,"&gt;0")</f>
        <v>12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44</v>
      </c>
      <c r="J14" s="123"/>
      <c r="K14" s="116">
        <f>COUNTIF($G$23:$G$82,"=PTE")+COUNTIF($G$23:$G$82,"=LIC")</f>
        <v>0</v>
      </c>
      <c r="L14" s="117"/>
      <c r="M14" s="134" t="s">
        <v>45</v>
      </c>
      <c r="N14" s="135">
        <f>COUNTIF($I$23:$I$82,"&gt;-1")</f>
        <v>12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/>
      <c r="C15" s="139"/>
      <c r="D15" s="111"/>
      <c r="E15" s="111"/>
      <c r="F15" s="112">
        <f>($B15*$B$7+$C15*$C$7)/100</f>
        <v>0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0</v>
      </c>
      <c r="L15" s="117"/>
      <c r="M15" s="140" t="s">
        <v>48</v>
      </c>
      <c r="N15" s="141">
        <f>COUNTIF(J23:J82,"=1")</f>
        <v>5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7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>
        <v>9.53</v>
      </c>
      <c r="C17" s="120">
        <v>3.72</v>
      </c>
      <c r="D17" s="111"/>
      <c r="E17" s="111"/>
      <c r="F17" s="147"/>
      <c r="G17" s="112">
        <f>($B17*$B$7+$C17*$C$7)/100</f>
        <v>8.368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0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/>
      <c r="D18" s="111"/>
      <c r="E18" s="152" t="s">
        <v>54</v>
      </c>
      <c r="F18" s="147"/>
      <c r="G18" s="112">
        <f>($B18*$B$7+$C18*$C$7)/100</f>
        <v>0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8.368</v>
      </c>
      <c r="G19" s="161">
        <f>SUM(G16:G18)</f>
        <v>8.368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9.53</v>
      </c>
      <c r="C20" s="171">
        <f>SUM(C23:C82)</f>
        <v>3.7199999999999998</v>
      </c>
      <c r="D20" s="172"/>
      <c r="E20" s="173" t="s">
        <v>54</v>
      </c>
      <c r="F20" s="174">
        <f>($B20*$B$7+$C20*$C$7)/100</f>
        <v>8.368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7.624</v>
      </c>
      <c r="C21" s="184">
        <f>C20*C7/100</f>
        <v>0.7439999999999999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8.368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79</v>
      </c>
      <c r="B23" s="211">
        <v>0.26</v>
      </c>
      <c r="C23" s="212">
        <v>0.17499999999999996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0" ref="F23:F82">($B23*$B$7+$C23*$C$7)/100</f>
        <v>0.243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1" ref="Q23:Q82">IF(ISTEXT(H23),"",(B23*$B$7/100)+(C23*$C$7/100))</f>
        <v>0.243</v>
      </c>
      <c r="R23" s="222">
        <f aca="true" t="shared" si="2" ref="R23:R82">IF(OR(ISTEXT(H23),Q23=0),"",IF(Q23&lt;0.1,1,IF(Q23&lt;1,2,IF(Q23&lt;10,3,IF(Q23&lt;50,4,IF(Q23&gt;=50,5,""))))))</f>
        <v>2</v>
      </c>
      <c r="S23" s="222">
        <f aca="true" t="shared" si="3" ref="S23:S82">IF(ISERROR(R23*I23),0,R23*I23)</f>
        <v>12</v>
      </c>
      <c r="T23" s="222">
        <f aca="true" t="shared" si="4" ref="T23:T82">IF(ISERROR(R23*I23*J23),0,R23*I23*J23)</f>
        <v>12</v>
      </c>
      <c r="U23" s="222">
        <f aca="true" t="shared" si="5" ref="U23:U82">IF(ISERROR(R23*J23),0,R23*J23)</f>
        <v>2</v>
      </c>
      <c r="V23" s="223">
        <f aca="true" t="shared" si="6" ref="V23:V82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80</v>
      </c>
      <c r="B24" s="229">
        <v>0</v>
      </c>
      <c r="C24" s="230">
        <v>0.45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Diatoma sp.</v>
      </c>
      <c r="E24" s="231" t="e">
        <f>IF(D24="",,VLOOKUP(D24,D$22:D23,1,0))</f>
        <v>#N/A</v>
      </c>
      <c r="F24" s="232">
        <f t="shared" si="0"/>
        <v>0.09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12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Diatoma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6627</v>
      </c>
      <c r="Q24" s="221">
        <f t="shared" si="1"/>
        <v>0.09</v>
      </c>
      <c r="R24" s="222">
        <f t="shared" si="2"/>
        <v>1</v>
      </c>
      <c r="S24" s="222">
        <f t="shared" si="3"/>
        <v>12</v>
      </c>
      <c r="T24" s="222">
        <f t="shared" si="4"/>
        <v>24</v>
      </c>
      <c r="U24" s="234">
        <f t="shared" si="5"/>
        <v>2</v>
      </c>
      <c r="V24" s="223">
        <f t="shared" si="6"/>
      </c>
      <c r="W24" s="224" t="s">
        <v>55</v>
      </c>
      <c r="Y24" s="225" t="str">
        <f>IF(A24="new.cod","NEWCOD",IF(AND((Z24=""),ISTEXT(A24)),A24,IF(Z24="","",INDEX('[1]liste reference'!$A$8:$A$904,Z24))))</f>
        <v>DIASPX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26</v>
      </c>
      <c r="AA24" s="226"/>
      <c r="AB24" s="227"/>
      <c r="AC24" s="227"/>
      <c r="BB24" s="8">
        <f t="shared" si="7"/>
        <v>1</v>
      </c>
    </row>
    <row r="25" spans="1:54" ht="12.75">
      <c r="A25" s="228" t="s">
        <v>81</v>
      </c>
      <c r="B25" s="229">
        <v>0.01</v>
      </c>
      <c r="C25" s="230">
        <v>0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Lemanea sp.</v>
      </c>
      <c r="E25" s="231" t="e">
        <f>IF(D25="",,VLOOKUP(D25,D$22:D24,1,0))</f>
        <v>#N/A</v>
      </c>
      <c r="F25" s="232">
        <f t="shared" si="0"/>
        <v>0.008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15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Lemanea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1159</v>
      </c>
      <c r="Q25" s="221">
        <f t="shared" si="1"/>
        <v>0.008</v>
      </c>
      <c r="R25" s="222">
        <f t="shared" si="2"/>
        <v>1</v>
      </c>
      <c r="S25" s="222">
        <f t="shared" si="3"/>
        <v>15</v>
      </c>
      <c r="T25" s="222">
        <f t="shared" si="4"/>
        <v>30</v>
      </c>
      <c r="U25" s="234">
        <f t="shared" si="5"/>
        <v>2</v>
      </c>
      <c r="V25" s="223">
        <f t="shared" si="6"/>
      </c>
      <c r="W25" s="224" t="s">
        <v>55</v>
      </c>
      <c r="Y25" s="225" t="str">
        <f>IF(A25="new.cod","NEWCOD",IF(AND((Z25=""),ISTEXT(A25)),A25,IF(Z25="","",INDEX('[1]liste reference'!$A$8:$A$904,Z25))))</f>
        <v>LEASPX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34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82</v>
      </c>
      <c r="B26" s="229">
        <v>0</v>
      </c>
      <c r="C26" s="230">
        <v>0.6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Melosira sp.</v>
      </c>
      <c r="E26" s="231" t="e">
        <f>IF(D26="",,VLOOKUP(D26,D$22:D25,1,0))</f>
        <v>#N/A</v>
      </c>
      <c r="F26" s="232">
        <f t="shared" si="0"/>
        <v>0.12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10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Melosira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8714</v>
      </c>
      <c r="Q26" s="221">
        <f t="shared" si="1"/>
        <v>0.12</v>
      </c>
      <c r="R26" s="222">
        <f t="shared" si="2"/>
        <v>2</v>
      </c>
      <c r="S26" s="222">
        <f t="shared" si="3"/>
        <v>20</v>
      </c>
      <c r="T26" s="222">
        <f t="shared" si="4"/>
        <v>20</v>
      </c>
      <c r="U26" s="234">
        <f t="shared" si="5"/>
        <v>2</v>
      </c>
      <c r="V26" s="223">
        <f t="shared" si="6"/>
      </c>
      <c r="W26" s="224" t="s">
        <v>55</v>
      </c>
      <c r="Y26" s="225" t="str">
        <f>IF(A26="new.cod","NEWCOD",IF(AND((Z26=""),ISTEXT(A26)),A26,IF(Z26="","",INDEX('[1]liste reference'!$A$8:$A$904,Z26))))</f>
        <v>MELSPX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36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83</v>
      </c>
      <c r="B27" s="229">
        <v>0.24</v>
      </c>
      <c r="C27" s="230">
        <v>0.075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Microspora sp.</v>
      </c>
      <c r="E27" s="231" t="e">
        <f>IF(D27="",,VLOOKUP(D27,D$22:D26,1,0))</f>
        <v>#N/A</v>
      </c>
      <c r="F27" s="232">
        <f t="shared" si="0"/>
        <v>0.207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12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Microspora sp.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1132</v>
      </c>
      <c r="Q27" s="221">
        <f t="shared" si="1"/>
        <v>0.20700000000000002</v>
      </c>
      <c r="R27" s="222">
        <f t="shared" si="2"/>
        <v>2</v>
      </c>
      <c r="S27" s="222">
        <f t="shared" si="3"/>
        <v>24</v>
      </c>
      <c r="T27" s="222">
        <f t="shared" si="4"/>
        <v>48</v>
      </c>
      <c r="U27" s="234">
        <f t="shared" si="5"/>
        <v>4</v>
      </c>
      <c r="V27" s="223">
        <f t="shared" si="6"/>
      </c>
      <c r="W27" s="235" t="s">
        <v>55</v>
      </c>
      <c r="Y27" s="225" t="str">
        <f>IF(A27="new.cod","NEWCOD",IF(AND((Z27=""),ISTEXT(A27)),A27,IF(Z27="","",INDEX('[1]liste reference'!$A$8:$A$904,Z27))))</f>
        <v>MICSPX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41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84</v>
      </c>
      <c r="B28" s="229">
        <v>0</v>
      </c>
      <c r="C28" s="230">
        <v>0.01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Phormidium sp.</v>
      </c>
      <c r="E28" s="231" t="e">
        <f>IF(D28="",,VLOOKUP(D28,D$22:D27,1,0))</f>
        <v>#N/A</v>
      </c>
      <c r="F28" s="232">
        <f t="shared" si="0"/>
        <v>0.002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13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Phormidium sp.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6414</v>
      </c>
      <c r="Q28" s="221">
        <f t="shared" si="1"/>
        <v>0.002</v>
      </c>
      <c r="R28" s="222">
        <f t="shared" si="2"/>
        <v>1</v>
      </c>
      <c r="S28" s="222">
        <f t="shared" si="3"/>
        <v>13</v>
      </c>
      <c r="T28" s="222">
        <f t="shared" si="4"/>
        <v>26</v>
      </c>
      <c r="U28" s="234">
        <f t="shared" si="5"/>
        <v>2</v>
      </c>
      <c r="V28" s="223">
        <f t="shared" si="6"/>
      </c>
      <c r="W28" s="224" t="s">
        <v>55</v>
      </c>
      <c r="Y28" s="225" t="str">
        <f>IF(A28="new.cod","NEWCOD",IF(AND((Z28=""),ISTEXT(A28)),A28,IF(Z28="","",INDEX('[1]liste reference'!$A$8:$A$904,Z28))))</f>
        <v>PHOSPX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57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85</v>
      </c>
      <c r="B29" s="229">
        <v>0.51</v>
      </c>
      <c r="C29" s="230">
        <v>1.2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Vaucheria sp.</v>
      </c>
      <c r="E29" s="231" t="e">
        <f>IF(D29="",,VLOOKUP(D29,D$22:D28,1,0))</f>
        <v>#N/A</v>
      </c>
      <c r="F29" s="232">
        <f t="shared" si="0"/>
        <v>0.648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ALG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2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4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Vaucheria sp.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6193</v>
      </c>
      <c r="Q29" s="221">
        <f t="shared" si="1"/>
        <v>0.6479999999999999</v>
      </c>
      <c r="R29" s="222">
        <f t="shared" si="2"/>
        <v>2</v>
      </c>
      <c r="S29" s="222">
        <f t="shared" si="3"/>
        <v>8</v>
      </c>
      <c r="T29" s="222">
        <f t="shared" si="4"/>
        <v>8</v>
      </c>
      <c r="U29" s="234">
        <f t="shared" si="5"/>
        <v>2</v>
      </c>
      <c r="V29" s="223">
        <f t="shared" si="6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VAUSPX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82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86</v>
      </c>
      <c r="B30" s="229">
        <v>0</v>
      </c>
      <c r="C30" s="230">
        <v>0.01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Amblystegium fluviatile</v>
      </c>
      <c r="E30" s="231" t="e">
        <f>IF(D30="",,VLOOKUP(D30,D$22:D29,1,0))</f>
        <v>#N/A</v>
      </c>
      <c r="F30" s="232">
        <f t="shared" si="0"/>
        <v>0.002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11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Amblystegium fluviatile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1223</v>
      </c>
      <c r="Q30" s="221">
        <f t="shared" si="1"/>
        <v>0.002</v>
      </c>
      <c r="R30" s="222">
        <f t="shared" si="2"/>
        <v>1</v>
      </c>
      <c r="S30" s="222">
        <f t="shared" si="3"/>
        <v>11</v>
      </c>
      <c r="T30" s="222">
        <f t="shared" si="4"/>
        <v>22</v>
      </c>
      <c r="U30" s="234">
        <f t="shared" si="5"/>
        <v>2</v>
      </c>
      <c r="V30" s="223">
        <f t="shared" si="6"/>
      </c>
      <c r="W30" s="224" t="s">
        <v>55</v>
      </c>
      <c r="Y30" s="225" t="str">
        <f>IF(A30="new.cod","NEWCOD",IF(AND((Z30=""),ISTEXT(A30)),A30,IF(Z30="","",INDEX('[1]liste reference'!$A$8:$A$904,Z30))))</f>
        <v>AMBFLU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147</v>
      </c>
      <c r="AA30" s="226"/>
      <c r="AB30" s="227"/>
      <c r="AC30" s="227"/>
      <c r="BB30" s="8">
        <f t="shared" si="7"/>
        <v>1</v>
      </c>
    </row>
    <row r="31" spans="1:54" ht="12.75">
      <c r="A31" s="228" t="s">
        <v>16</v>
      </c>
      <c r="B31" s="229">
        <v>4</v>
      </c>
      <c r="C31" s="230">
        <v>0.5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Cinclidotus aquaticus</v>
      </c>
      <c r="E31" s="231" t="e">
        <f>IF(D31="",,VLOOKUP(D31,D$22:D30,1,0))</f>
        <v>#N/A</v>
      </c>
      <c r="F31" s="232">
        <f t="shared" si="0"/>
        <v>3.3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BRm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5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15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2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Cinclidotus aquaticus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1318</v>
      </c>
      <c r="Q31" s="221">
        <f t="shared" si="1"/>
        <v>3.3000000000000003</v>
      </c>
      <c r="R31" s="222">
        <f t="shared" si="2"/>
        <v>3</v>
      </c>
      <c r="S31" s="222">
        <f t="shared" si="3"/>
        <v>45</v>
      </c>
      <c r="T31" s="222">
        <f t="shared" si="4"/>
        <v>90</v>
      </c>
      <c r="U31" s="234">
        <f t="shared" si="5"/>
        <v>6</v>
      </c>
      <c r="V31" s="223">
        <f t="shared" si="6"/>
      </c>
      <c r="W31" s="224" t="s">
        <v>55</v>
      </c>
      <c r="Y31" s="225" t="str">
        <f>IF(A31="new.cod","NEWCOD",IF(AND((Z31=""),ISTEXT(A31)),A31,IF(Z31="","",INDEX('[1]liste reference'!$A$8:$A$904,Z31))))</f>
        <v>CINAQU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170</v>
      </c>
      <c r="AA31" s="226"/>
      <c r="AB31" s="227"/>
      <c r="AC31" s="227"/>
      <c r="BB31" s="8">
        <f t="shared" si="7"/>
        <v>1</v>
      </c>
    </row>
    <row r="32" spans="1:54" ht="12.75">
      <c r="A32" s="228" t="s">
        <v>87</v>
      </c>
      <c r="B32" s="229">
        <v>4</v>
      </c>
      <c r="C32" s="230">
        <v>0.5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Cinclidotus riparius</v>
      </c>
      <c r="E32" s="231" t="e">
        <f>IF(D32="",,VLOOKUP(D32,D$22:D31,1,0))</f>
        <v>#N/A</v>
      </c>
      <c r="F32" s="232">
        <f t="shared" si="0"/>
        <v>3.3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BRm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5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13</v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2</v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Cinclidotus riparius</v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1321</v>
      </c>
      <c r="Q32" s="221">
        <f t="shared" si="1"/>
        <v>3.3000000000000003</v>
      </c>
      <c r="R32" s="222">
        <f t="shared" si="2"/>
        <v>3</v>
      </c>
      <c r="S32" s="222">
        <f t="shared" si="3"/>
        <v>39</v>
      </c>
      <c r="T32" s="222">
        <f t="shared" si="4"/>
        <v>78</v>
      </c>
      <c r="U32" s="234">
        <f t="shared" si="5"/>
        <v>6</v>
      </c>
      <c r="V32" s="223">
        <f t="shared" si="6"/>
      </c>
      <c r="W32" s="224" t="s">
        <v>55</v>
      </c>
      <c r="Y32" s="225" t="str">
        <f>IF(A32="new.cod","NEWCOD",IF(AND((Z32=""),ISTEXT(A32)),A32,IF(Z32="","",INDEX('[1]liste reference'!$A$8:$A$904,Z32))))</f>
        <v>CINRIP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174</v>
      </c>
      <c r="AA32" s="226"/>
      <c r="AB32" s="227"/>
      <c r="AC32" s="227"/>
      <c r="BB32" s="8">
        <f t="shared" si="7"/>
        <v>1</v>
      </c>
    </row>
    <row r="33" spans="1:54" ht="12.75">
      <c r="A33" s="228" t="s">
        <v>88</v>
      </c>
      <c r="B33" s="229">
        <v>0.01</v>
      </c>
      <c r="C33" s="230">
        <v>0.10000000000000002</v>
      </c>
      <c r="D33" s="213" t="str">
        <f>IF(ISERROR(VLOOKUP($A33,'[1]liste reference'!$A$7:$D$904,2,0)),IF(ISERROR(VLOOKUP($A33,'[1]liste reference'!$B$7:$D$904,1,0)),"",VLOOKUP($A33,'[1]liste reference'!$B$7:$D$904,1,0)),VLOOKUP($A33,'[1]liste reference'!$A$7:$D$904,2,0))</f>
        <v>Fontinalis antipyretica</v>
      </c>
      <c r="E33" s="231" t="e">
        <f>IF(D33="",,VLOOKUP(D33,D$22:D32,1,0))</f>
        <v>#N/A</v>
      </c>
      <c r="F33" s="232">
        <f t="shared" si="0"/>
        <v>0.028000000000000008</v>
      </c>
      <c r="G33" s="21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BRm</v>
      </c>
      <c r="H33" s="21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5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10</v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1</v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Fontinalis antipyretica</v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1310</v>
      </c>
      <c r="Q33" s="221">
        <f t="shared" si="1"/>
        <v>0.028000000000000004</v>
      </c>
      <c r="R33" s="222">
        <f t="shared" si="2"/>
        <v>1</v>
      </c>
      <c r="S33" s="222">
        <f t="shared" si="3"/>
        <v>10</v>
      </c>
      <c r="T33" s="222">
        <f t="shared" si="4"/>
        <v>10</v>
      </c>
      <c r="U33" s="234">
        <f t="shared" si="5"/>
        <v>1</v>
      </c>
      <c r="V33" s="223">
        <f t="shared" si="6"/>
      </c>
      <c r="W33" s="224" t="s">
        <v>55</v>
      </c>
      <c r="Y33" s="225" t="str">
        <f>IF(A33="new.cod","NEWCOD",IF(AND((Z33=""),ISTEXT(A33)),A33,IF(Z33="","",INDEX('[1]liste reference'!$A$8:$A$904,Z33))))</f>
        <v>FONANT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210</v>
      </c>
      <c r="AA33" s="226"/>
      <c r="AB33" s="227"/>
      <c r="AC33" s="227"/>
      <c r="BB33" s="8">
        <f t="shared" si="7"/>
        <v>1</v>
      </c>
    </row>
    <row r="34" spans="1:54" ht="12.75">
      <c r="A34" s="228" t="s">
        <v>89</v>
      </c>
      <c r="B34" s="229">
        <v>0.5</v>
      </c>
      <c r="C34" s="230">
        <v>0.09999999999999999</v>
      </c>
      <c r="D34" s="213" t="str">
        <f>IF(ISERROR(VLOOKUP($A34,'[1]liste reference'!$A$7:$D$904,2,0)),IF(ISERROR(VLOOKUP($A34,'[1]liste reference'!$B$7:$D$904,1,0)),"",VLOOKUP($A34,'[1]liste reference'!$B$7:$D$904,1,0)),VLOOKUP($A34,'[1]liste reference'!$A$7:$D$904,2,0))</f>
        <v>Rhynchostegium riparioides</v>
      </c>
      <c r="E34" s="231" t="e">
        <f>IF(D34="",,VLOOKUP(D34,D$22:D33,1,0))</f>
        <v>#N/A</v>
      </c>
      <c r="F34" s="236">
        <f t="shared" si="0"/>
        <v>0.42</v>
      </c>
      <c r="G34" s="21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BRm</v>
      </c>
      <c r="H34" s="21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5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12</v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1</v>
      </c>
      <c r="K34" s="21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Rhynchostegium riparioides</v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1268</v>
      </c>
      <c r="Q34" s="221">
        <f t="shared" si="1"/>
        <v>0.42000000000000004</v>
      </c>
      <c r="R34" s="222">
        <f t="shared" si="2"/>
        <v>2</v>
      </c>
      <c r="S34" s="222">
        <f t="shared" si="3"/>
        <v>24</v>
      </c>
      <c r="T34" s="222">
        <f t="shared" si="4"/>
        <v>24</v>
      </c>
      <c r="U34" s="234">
        <f t="shared" si="5"/>
        <v>2</v>
      </c>
      <c r="V34" s="223">
        <f t="shared" si="6"/>
      </c>
      <c r="W34" s="224" t="s">
        <v>55</v>
      </c>
      <c r="Y34" s="225" t="str">
        <f>IF(A34="new.cod","NEWCOD",IF(AND((Z34=""),ISTEXT(A34)),A34,IF(Z34="","",INDEX('[1]liste reference'!$A$8:$A$904,Z34))))</f>
        <v>RHYRIP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252</v>
      </c>
      <c r="AA34" s="226"/>
      <c r="AB34" s="227"/>
      <c r="AC34" s="227"/>
      <c r="BB34" s="8">
        <f t="shared" si="7"/>
        <v>1</v>
      </c>
    </row>
    <row r="35" spans="1:54" ht="12.75">
      <c r="A35" s="228" t="s">
        <v>55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55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55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55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55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55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55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55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55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55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55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55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90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Guiers Mort</v>
      </c>
      <c r="B84" s="265" t="str">
        <f>C3</f>
        <v>Guiers Mort à Saint Laurent du Pont</v>
      </c>
      <c r="C84" s="266">
        <f>A4</f>
        <v>41897</v>
      </c>
      <c r="D84" s="267">
        <f>IF(ISERROR(SUM($T$23:$T$82)/SUM($U$23:$U$82)),"",SUM($T$23:$T$82)/SUM($U$23:$U$82))</f>
        <v>11.878787878787879</v>
      </c>
      <c r="E84" s="268">
        <f>N13</f>
        <v>12</v>
      </c>
      <c r="F84" s="265">
        <f>N14</f>
        <v>12</v>
      </c>
      <c r="G84" s="265">
        <f>N15</f>
        <v>5</v>
      </c>
      <c r="H84" s="265">
        <f>N16</f>
        <v>7</v>
      </c>
      <c r="I84" s="265">
        <f>N17</f>
        <v>0</v>
      </c>
      <c r="J84" s="269">
        <f>N8</f>
        <v>11.083333333333334</v>
      </c>
      <c r="K84" s="267">
        <f>N9</f>
        <v>3.147971127920684</v>
      </c>
      <c r="L84" s="268">
        <f>N10</f>
        <v>4</v>
      </c>
      <c r="M84" s="268">
        <f>N11</f>
        <v>15</v>
      </c>
      <c r="N84" s="267">
        <f>O8</f>
        <v>1.5833333333333333</v>
      </c>
      <c r="O84" s="267">
        <f>O9</f>
        <v>0.4930066485916347</v>
      </c>
      <c r="P84" s="268">
        <f>O10</f>
        <v>1</v>
      </c>
      <c r="Q84" s="268">
        <f>O11</f>
        <v>2</v>
      </c>
      <c r="R84" s="268">
        <f>F21</f>
        <v>8.368</v>
      </c>
      <c r="S84" s="268">
        <f>K11</f>
        <v>0</v>
      </c>
      <c r="T84" s="268">
        <f>K12</f>
        <v>7</v>
      </c>
      <c r="U84" s="268">
        <f>K13</f>
        <v>5</v>
      </c>
      <c r="V84" s="270">
        <f>K14</f>
        <v>0</v>
      </c>
      <c r="W84" s="271">
        <f>K15</f>
        <v>0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91</v>
      </c>
      <c r="R86" s="8"/>
      <c r="S86" s="223"/>
      <c r="T86" s="8"/>
      <c r="U86" s="8"/>
      <c r="V86" s="8"/>
    </row>
    <row r="87" spans="16:22" ht="12.75" hidden="1">
      <c r="P87" s="8"/>
      <c r="Q87" s="8" t="s">
        <v>92</v>
      </c>
      <c r="R87" s="8"/>
      <c r="S87" s="223">
        <f>VLOOKUP(MAX($S$23:$S$82),($S$23:$U$82),1,0)</f>
        <v>45</v>
      </c>
      <c r="T87" s="8"/>
      <c r="U87" s="8"/>
      <c r="V87" s="8"/>
    </row>
    <row r="88" spans="16:22" ht="12.75" hidden="1">
      <c r="P88" s="8"/>
      <c r="Q88" s="8" t="s">
        <v>93</v>
      </c>
      <c r="R88" s="8"/>
      <c r="S88" s="223">
        <f>VLOOKUP((S87),($S$23:$U$82),2,0)</f>
        <v>90</v>
      </c>
      <c r="T88" s="8"/>
      <c r="U88" s="8"/>
      <c r="V88" s="8"/>
    </row>
    <row r="89" spans="17:20" ht="12.75" hidden="1">
      <c r="Q89" s="8" t="s">
        <v>94</v>
      </c>
      <c r="R89" s="8"/>
      <c r="S89" s="223">
        <f>VLOOKUP((S87),($S$23:$U$82),3,0)</f>
        <v>6</v>
      </c>
      <c r="T89" s="8"/>
    </row>
    <row r="90" spans="17:20" ht="12.75">
      <c r="Q90" s="8" t="s">
        <v>95</v>
      </c>
      <c r="R90" s="8"/>
      <c r="S90" s="274">
        <f>IF(ISERROR(SUM($T$23:$T$82)/SUM($U$23:$U$82)),"",(SUM($T$23:$T$82)-S88)/(SUM($U$23:$U$82)-S89))</f>
        <v>11.185185185185185</v>
      </c>
      <c r="T90" s="8"/>
    </row>
    <row r="91" spans="17:21" ht="12.75">
      <c r="Q91" s="222" t="s">
        <v>96</v>
      </c>
      <c r="R91" s="222"/>
      <c r="S91" s="222" t="str">
        <f>INDEX('[1]liste reference'!$A$8:$A$904,$T$91)</f>
        <v>CINAQU</v>
      </c>
      <c r="T91" s="8">
        <f>IF(ISERROR(MATCH($S$93,'[1]liste reference'!$A$8:$A$904,0)),MATCH($S$93,'[1]liste reference'!$B$8:$B$904,0),(MATCH($S$93,'[1]liste reference'!$A$8:$A$904,0)))</f>
        <v>170</v>
      </c>
      <c r="U91" s="263"/>
    </row>
    <row r="92" spans="17:20" ht="12.75">
      <c r="Q92" s="8" t="s">
        <v>97</v>
      </c>
      <c r="R92" s="8"/>
      <c r="S92" s="8">
        <f>MATCH(S87,$S$23:$S$82,0)</f>
        <v>9</v>
      </c>
      <c r="T92" s="8"/>
    </row>
    <row r="93" spans="17:20" ht="12.75">
      <c r="Q93" s="222" t="s">
        <v>98</v>
      </c>
      <c r="R93" s="8"/>
      <c r="S93" s="222" t="str">
        <f>INDEX($A$23:$A$82,$S$92)</f>
        <v>CINAQU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2015-04-23T10:08:01Z</dcterms:created>
  <dcterms:modified xsi:type="dcterms:W3CDTF">2015-04-23T10:08:10Z</dcterms:modified>
  <cp:category/>
  <cp:version/>
  <cp:contentType/>
  <cp:contentStatus/>
</cp:coreProperties>
</file>