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<sst xmlns="http://schemas.openxmlformats.org/spreadsheetml/2006/main" count="219" uniqueCount="103">
  <si>
    <t>Relevés floristiques aquatiques - IBMR</t>
  </si>
  <si>
    <t xml:space="preserve">Formulaire modèle GIS Macrophytes v 3.3 - novembre 2013  </t>
  </si>
  <si>
    <t>SAGE ENVIRONNEMENT</t>
  </si>
  <si>
    <t>L.ISEBE P.BELLY</t>
  </si>
  <si>
    <t>conforme AFNOR T90-395 oct. 2003</t>
  </si>
  <si>
    <t>RHONE</t>
  </si>
  <si>
    <t>RHONE A BREIGNIER CORDON</t>
  </si>
  <si>
    <t>06079050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</si>
  <si>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</si>
  <si>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</si>
  <si>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</si>
  <si>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</si>
  <si>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</si>
  <si>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</si>
  <si>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</si>
  <si>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</si>
  <si>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</si>
  <si>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</si>
  <si>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chenal lotiquea</t>
  </si>
  <si>
    <t>chenal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</si>
  <si>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</si>
  <si>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</si>
  <si>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</si>
  <si>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</si>
  <si>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</si>
  <si>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</si>
  <si>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</si>
  <si>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</si>
  <si>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</si>
  <si>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</si>
  <si>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</si>
  <si>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</si>
  <si>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</si>
  <si>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</si>
  <si>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</si>
  <si>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</si>
  <si>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</si>
  <si>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</si>
  <si>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</si>
  <si>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</si>
  <si>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</si>
  <si>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</si>
  <si>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</si>
  <si>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</si>
  <si>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</si>
  <si>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</si>
  <si>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</si>
  <si>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</si>
  <si>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</si>
  <si>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</si>
  <si>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</si>
  <si>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</si>
  <si>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</si>
  <si>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</si>
  <si>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</si>
  <si>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</si>
  <si>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</si>
  <si>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</si>
  <si>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</si>
  <si>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</si>
  <si>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</si>
  <si>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</si>
  <si>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</si>
  <si>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</si>
  <si>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</si>
  <si>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</si>
  <si>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</si>
  <si>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</si>
  <si>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</si>
  <si>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</si>
  <si>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</si>
  <si>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</si>
  <si>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</si>
  <si>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</si>
  <si>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</si>
  <si>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</si>
  <si>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</si>
  <si>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</si>
  <si>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</si>
  <si>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</si>
  <si>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</si>
  <si>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LYNSPX</t>
  </si>
  <si>
    <t>PHOSPX</t>
  </si>
  <si>
    <t>ULOSPX</t>
  </si>
  <si>
    <t>AMBFLU</t>
  </si>
  <si>
    <t>CINDAN</t>
  </si>
  <si>
    <t>ELONUT</t>
  </si>
  <si>
    <t>LEMMIN</t>
  </si>
  <si>
    <t>MYRSPI</t>
  </si>
  <si>
    <t>POTCRI</t>
  </si>
  <si>
    <t>PHAARU</t>
  </si>
  <si>
    <t>PHRAUS</t>
  </si>
  <si>
    <t>POLHYD</t>
  </si>
  <si>
    <t>POLSPX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</si>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</sst>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HOBRE_05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3">
      <selection activeCell="B43" sqref="B43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41887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9.774193548387096</v>
      </c>
      <c r="M5" s="52"/>
      <c r="N5" s="53" t="s">
        <v>16</v>
      </c>
      <c r="O5" s="54">
        <v>9.74074074074074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67</v>
      </c>
      <c r="C7" s="66">
        <v>33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9.666666666666666</v>
      </c>
      <c r="O8" s="84">
        <f>IF(ISERROR(AVERAGE(J23:J82)),"      -",AVERAGE(J23:J82))</f>
        <v>1.8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0.21</v>
      </c>
      <c r="C9" s="87">
        <v>1.89</v>
      </c>
      <c r="D9" s="88"/>
      <c r="E9" s="88"/>
      <c r="F9" s="89">
        <f>($B9*$B$7+$C9*$C$7)/100</f>
        <v>0.7644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1.9888578520235065</v>
      </c>
      <c r="O9" s="84">
        <f>IF(ISERROR(STDEVP(J23:J82)),"      -",STDEVP(J23:J82))</f>
        <v>0.5416025603090641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6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/>
      <c r="C12" s="120">
        <v>0.67</v>
      </c>
      <c r="D12" s="111"/>
      <c r="E12" s="111"/>
      <c r="F12" s="112">
        <f>($B12*$B$7+$C12*$C$7)/100</f>
        <v>0.22110000000000002</v>
      </c>
      <c r="G12" s="121"/>
      <c r="H12" s="67"/>
      <c r="I12" s="122" t="s">
        <v>39</v>
      </c>
      <c r="J12" s="123"/>
      <c r="K12" s="116">
        <f>COUNTIF($G$23:$G$82,"=ALG")</f>
        <v>5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/>
      <c r="C13" s="120">
        <v>0.27</v>
      </c>
      <c r="D13" s="111"/>
      <c r="E13" s="111"/>
      <c r="F13" s="112">
        <f>($B13*$B$7+$C13*$C$7)/100</f>
        <v>0.0891</v>
      </c>
      <c r="G13" s="121"/>
      <c r="H13" s="67"/>
      <c r="I13" s="129" t="s">
        <v>41</v>
      </c>
      <c r="J13" s="123"/>
      <c r="K13" s="116">
        <f>COUNTIF($G$23:$G$82,"=BRm")+COUNTIF($G$23:$G$82,"=BRh")</f>
        <v>2</v>
      </c>
      <c r="L13" s="117"/>
      <c r="M13" s="130" t="s">
        <v>42</v>
      </c>
      <c r="N13" s="131">
        <f>COUNTIF(F23:F82,"&gt;0")</f>
        <v>16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15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0.21</v>
      </c>
      <c r="C15" s="139">
        <v>0.95</v>
      </c>
      <c r="D15" s="111"/>
      <c r="E15" s="111"/>
      <c r="F15" s="112">
        <f>($B15*$B$7+$C15*$C$7)/100</f>
        <v>0.4542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9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>
        <v>0.94</v>
      </c>
      <c r="D16" s="143"/>
      <c r="E16" s="143"/>
      <c r="F16" s="144"/>
      <c r="G16" s="144">
        <f>($B16*$B$7+$C16*$C$7)/100</f>
        <v>0.3102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10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0.21</v>
      </c>
      <c r="C17" s="120">
        <v>0.81</v>
      </c>
      <c r="D17" s="111"/>
      <c r="E17" s="111"/>
      <c r="F17" s="147"/>
      <c r="G17" s="112">
        <f>($B17*$B$7+$C17*$C$7)/100</f>
        <v>0.408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0.14</v>
      </c>
      <c r="D18" s="111"/>
      <c r="E18" s="152" t="s">
        <v>54</v>
      </c>
      <c r="F18" s="147"/>
      <c r="G18" s="112">
        <f>($B18*$B$7+$C18*$C$7)/100</f>
        <v>0.0462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0.7644</v>
      </c>
      <c r="G19" s="161">
        <f>SUM(G16:G18)</f>
        <v>0.7644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0.20516516516516514</v>
      </c>
      <c r="C20" s="171">
        <f>SUM(C23:C82)</f>
        <v>1.8880638722554892</v>
      </c>
      <c r="D20" s="172"/>
      <c r="E20" s="173" t="s">
        <v>54</v>
      </c>
      <c r="F20" s="174">
        <f>($B20*$B$7+$C20*$C$7)/100</f>
        <v>0.7605217385049721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0.13746066066066065</v>
      </c>
      <c r="C21" s="184">
        <f>C20*C7/100</f>
        <v>0.6230610778443114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0.7605217385049721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</v>
      </c>
      <c r="C23" s="212">
        <v>0.2688483033932136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0.08871994011976048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0.08871994011976048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6</v>
      </c>
      <c r="T23" s="222">
        <f aca="true" t="shared" si="4" ref="T23:T82">IF(ISERROR(R23*I23*J23),0,R23*I23*J23)</f>
        <v>6</v>
      </c>
      <c r="U23" s="222">
        <f aca="true" t="shared" si="5" ref="U23:U82">IF(ISERROR(R23*J23),0,R23*J23)</f>
        <v>1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</v>
      </c>
      <c r="C24" s="230">
        <v>0.1337325349301397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0"/>
        <v>0.0441317365269461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1"/>
        <v>0.0441317365269461</v>
      </c>
      <c r="R24" s="222">
        <f t="shared" si="2"/>
        <v>1</v>
      </c>
      <c r="S24" s="222">
        <f t="shared" si="3"/>
        <v>12</v>
      </c>
      <c r="T24" s="222">
        <f t="shared" si="4"/>
        <v>24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</v>
      </c>
      <c r="C25" s="230">
        <v>0.1337325349301397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Lyngbya sp.</v>
      </c>
      <c r="E25" s="231" t="e">
        <f>IF(D25="",,VLOOKUP(D25,D$22:D24,1,0))</f>
        <v>#N/A</v>
      </c>
      <c r="F25" s="232">
        <f t="shared" si="0"/>
        <v>0.0441317365269461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Lyngbya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1107</v>
      </c>
      <c r="Q25" s="221">
        <f t="shared" si="1"/>
        <v>0.0441317365269461</v>
      </c>
      <c r="R25" s="222">
        <f t="shared" si="2"/>
        <v>1</v>
      </c>
      <c r="S25" s="222">
        <f t="shared" si="3"/>
        <v>10</v>
      </c>
      <c r="T25" s="222">
        <f t="shared" si="4"/>
        <v>20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LYNSPX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35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</v>
      </c>
      <c r="C26" s="230">
        <v>0.1337325349301397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31" t="e">
        <f>IF(D26="",,VLOOKUP(D26,D$22:D25,1,0))</f>
        <v>#N/A</v>
      </c>
      <c r="F26" s="232">
        <f t="shared" si="0"/>
        <v>0.0441317365269461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21">
        <f t="shared" si="1"/>
        <v>0.0441317365269461</v>
      </c>
      <c r="R26" s="222">
        <f t="shared" si="2"/>
        <v>1</v>
      </c>
      <c r="S26" s="222">
        <f t="shared" si="3"/>
        <v>13</v>
      </c>
      <c r="T26" s="222">
        <f t="shared" si="4"/>
        <v>26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</v>
      </c>
      <c r="C27" s="230">
        <v>0.002568862275449102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Ulothrix sp.</v>
      </c>
      <c r="E27" s="231" t="e">
        <f>IF(D27="",,VLOOKUP(D27,D$22:D26,1,0))</f>
        <v>#N/A</v>
      </c>
      <c r="F27" s="232">
        <f t="shared" si="0"/>
        <v>0.0008477245508982037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Ulothrix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1142</v>
      </c>
      <c r="Q27" s="221">
        <f t="shared" si="1"/>
        <v>0.0008477245508982037</v>
      </c>
      <c r="R27" s="222">
        <f t="shared" si="2"/>
        <v>1</v>
      </c>
      <c r="S27" s="222">
        <f t="shared" si="3"/>
        <v>10</v>
      </c>
      <c r="T27" s="222">
        <f t="shared" si="4"/>
        <v>10</v>
      </c>
      <c r="U27" s="234">
        <f t="shared" si="5"/>
        <v>1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ULOSPX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81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</v>
      </c>
      <c r="C28" s="230">
        <v>0.2674650698602794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Amblystegium fluviatile</v>
      </c>
      <c r="E28" s="231" t="e">
        <f>IF(D28="",,VLOOKUP(D28,D$22:D27,1,0))</f>
        <v>#N/A</v>
      </c>
      <c r="F28" s="232">
        <f t="shared" si="0"/>
        <v>0.0882634730538922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11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Amblystegium fluviatile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1223</v>
      </c>
      <c r="Q28" s="221">
        <f t="shared" si="1"/>
        <v>0.0882634730538922</v>
      </c>
      <c r="R28" s="222">
        <f t="shared" si="2"/>
        <v>1</v>
      </c>
      <c r="S28" s="222">
        <f t="shared" si="3"/>
        <v>11</v>
      </c>
      <c r="T28" s="222">
        <f t="shared" si="4"/>
        <v>22</v>
      </c>
      <c r="U28" s="234">
        <f t="shared" si="5"/>
        <v>2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AMBFLU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147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85</v>
      </c>
      <c r="B29" s="229">
        <v>0</v>
      </c>
      <c r="C29" s="230">
        <v>0.001976047904191617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Cinclidotus danubicus</v>
      </c>
      <c r="E29" s="231" t="e">
        <f>IF(D29="",,VLOOKUP(D29,D$22:D28,1,0))</f>
        <v>#N/A</v>
      </c>
      <c r="F29" s="232">
        <f t="shared" si="0"/>
        <v>0.0006520958083832336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13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Cinclidotus danubicus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1319</v>
      </c>
      <c r="Q29" s="221">
        <f t="shared" si="1"/>
        <v>0.0006520958083832336</v>
      </c>
      <c r="R29" s="222">
        <f t="shared" si="2"/>
        <v>1</v>
      </c>
      <c r="S29" s="222">
        <f t="shared" si="3"/>
        <v>13</v>
      </c>
      <c r="T29" s="222">
        <f t="shared" si="4"/>
        <v>39</v>
      </c>
      <c r="U29" s="234">
        <f t="shared" si="5"/>
        <v>3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CINDAN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171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86</v>
      </c>
      <c r="B30" s="229">
        <v>0.06706706706706707</v>
      </c>
      <c r="C30" s="230">
        <v>0.13570858283433132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Elodea nuttalii</v>
      </c>
      <c r="E30" s="231" t="e">
        <f>IF(D30="",,VLOOKUP(D30,D$22:D29,1,0))</f>
        <v>#N/A</v>
      </c>
      <c r="F30" s="232">
        <f t="shared" si="0"/>
        <v>0.08971876727026426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8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Elodea nuttalii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1588</v>
      </c>
      <c r="Q30" s="221">
        <f t="shared" si="1"/>
        <v>0.08971876727026426</v>
      </c>
      <c r="R30" s="222">
        <f t="shared" si="2"/>
        <v>1</v>
      </c>
      <c r="S30" s="222">
        <f t="shared" si="3"/>
        <v>8</v>
      </c>
      <c r="T30" s="222">
        <f t="shared" si="4"/>
        <v>16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ELONUT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343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87</v>
      </c>
      <c r="B31" s="229">
        <v>0</v>
      </c>
      <c r="C31" s="230">
        <v>0.1337325349301397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Lemna minor</v>
      </c>
      <c r="E31" s="231" t="e">
        <f>IF(D31="",,VLOOKUP(D31,D$22:D30,1,0))</f>
        <v>#N/A</v>
      </c>
      <c r="F31" s="232">
        <f t="shared" si="0"/>
        <v>0.0441317365269461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Lemna minor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1626</v>
      </c>
      <c r="Q31" s="221">
        <f t="shared" si="1"/>
        <v>0.0441317365269461</v>
      </c>
      <c r="R31" s="222">
        <f t="shared" si="2"/>
        <v>1</v>
      </c>
      <c r="S31" s="222">
        <f t="shared" si="3"/>
        <v>10</v>
      </c>
      <c r="T31" s="222">
        <f t="shared" si="4"/>
        <v>10</v>
      </c>
      <c r="U31" s="234">
        <f t="shared" si="5"/>
        <v>1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LEMMIN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357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88</v>
      </c>
      <c r="B32" s="229">
        <v>0.06706706706706707</v>
      </c>
      <c r="C32" s="230">
        <v>0.26944111776447105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Myriophyllum spicatum</v>
      </c>
      <c r="E32" s="231" t="e">
        <f>IF(D32="",,VLOOKUP(D32,D$22:D31,1,0))</f>
        <v>#N/A</v>
      </c>
      <c r="F32" s="232">
        <f t="shared" si="0"/>
        <v>0.13385050379721036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8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Myriophyllum spicatum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1778</v>
      </c>
      <c r="Q32" s="221">
        <f t="shared" si="1"/>
        <v>0.13385050379721036</v>
      </c>
      <c r="R32" s="222">
        <f t="shared" si="2"/>
        <v>2</v>
      </c>
      <c r="S32" s="222">
        <f t="shared" si="3"/>
        <v>16</v>
      </c>
      <c r="T32" s="222">
        <f t="shared" si="4"/>
        <v>32</v>
      </c>
      <c r="U32" s="234">
        <f t="shared" si="5"/>
        <v>4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MYRSPI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373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89</v>
      </c>
      <c r="B33" s="229">
        <v>0.003963963963963963</v>
      </c>
      <c r="C33" s="230">
        <v>0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Potamogeton crispus</v>
      </c>
      <c r="E33" s="231" t="e">
        <f>IF(D33="",,VLOOKUP(D33,D$22:D32,1,0))</f>
        <v>#N/A</v>
      </c>
      <c r="F33" s="232">
        <f t="shared" si="0"/>
        <v>0.0026558558558558553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7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Potamogeton crispus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1645</v>
      </c>
      <c r="Q33" s="221">
        <f t="shared" si="1"/>
        <v>0.0026558558558558553</v>
      </c>
      <c r="R33" s="222">
        <f t="shared" si="2"/>
        <v>1</v>
      </c>
      <c r="S33" s="222">
        <f t="shared" si="3"/>
        <v>7</v>
      </c>
      <c r="T33" s="222">
        <f t="shared" si="4"/>
        <v>14</v>
      </c>
      <c r="U33" s="234">
        <f t="shared" si="5"/>
        <v>2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POTCRI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409</v>
      </c>
      <c r="AA33" s="226"/>
      <c r="AB33" s="227"/>
      <c r="AC33" s="227"/>
      <c r="BB33" s="8">
        <f t="shared" si="7"/>
        <v>1</v>
      </c>
    </row>
    <row r="34" spans="1:54" ht="12.75">
      <c r="A34" s="228" t="s">
        <v>16</v>
      </c>
      <c r="B34" s="229">
        <v>0.06706706706706707</v>
      </c>
      <c r="C34" s="230">
        <v>0.2674650698602794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Ranunculus fluitans</v>
      </c>
      <c r="E34" s="231" t="e">
        <f>IF(D34="",,VLOOKUP(D34,D$22:D33,1,0))</f>
        <v>#N/A</v>
      </c>
      <c r="F34" s="236">
        <f t="shared" si="0"/>
        <v>0.13319840798882712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PHy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7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10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Ranunculus fluitans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1903</v>
      </c>
      <c r="Q34" s="221">
        <f t="shared" si="1"/>
        <v>0.13319840798882715</v>
      </c>
      <c r="R34" s="222">
        <f t="shared" si="2"/>
        <v>2</v>
      </c>
      <c r="S34" s="222">
        <f t="shared" si="3"/>
        <v>20</v>
      </c>
      <c r="T34" s="222">
        <f t="shared" si="4"/>
        <v>40</v>
      </c>
      <c r="U34" s="234">
        <f t="shared" si="5"/>
        <v>4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RANFLU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456</v>
      </c>
      <c r="AA34" s="226"/>
      <c r="AB34" s="227"/>
      <c r="AC34" s="227"/>
      <c r="BB34" s="8">
        <f t="shared" si="7"/>
        <v>1</v>
      </c>
    </row>
    <row r="35" spans="1:54" ht="12.75">
      <c r="A35" s="228" t="s">
        <v>90</v>
      </c>
      <c r="B35" s="229">
        <v>0</v>
      </c>
      <c r="C35" s="230">
        <v>0.001976047904191617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Phalaris arundinacea</v>
      </c>
      <c r="E35" s="231" t="e">
        <f>IF(D35="",,VLOOKUP(D35,D$22:D34,1,0))</f>
        <v>#N/A</v>
      </c>
      <c r="F35" s="236">
        <f t="shared" si="0"/>
        <v>0.0006520958083832336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10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Phalaris arundinacea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1577</v>
      </c>
      <c r="Q35" s="221">
        <f t="shared" si="1"/>
        <v>0.0006520958083832336</v>
      </c>
      <c r="R35" s="222">
        <f t="shared" si="2"/>
        <v>1</v>
      </c>
      <c r="S35" s="222">
        <f t="shared" si="3"/>
        <v>10</v>
      </c>
      <c r="T35" s="222">
        <f t="shared" si="4"/>
        <v>10</v>
      </c>
      <c r="U35" s="234">
        <f t="shared" si="5"/>
        <v>1</v>
      </c>
      <c r="V35" s="223">
        <f t="shared" si="6"/>
      </c>
      <c r="W35" s="224" t="s">
        <v>55</v>
      </c>
      <c r="Y35" s="225" t="str">
        <f>IF(A35="new.cod","NEWCOD",IF(AND((Z35=""),ISTEXT(A35)),A35,IF(Z35="","",INDEX('[1]liste reference'!$A$8:$A$904,Z35))))</f>
        <v>PHAARU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634</v>
      </c>
      <c r="AA35" s="226"/>
      <c r="AB35" s="227"/>
      <c r="AC35" s="227"/>
      <c r="BB35" s="8">
        <f t="shared" si="7"/>
        <v>1</v>
      </c>
    </row>
    <row r="36" spans="1:54" ht="12.75">
      <c r="A36" s="228" t="s">
        <v>91</v>
      </c>
      <c r="B36" s="229">
        <v>0</v>
      </c>
      <c r="C36" s="230">
        <v>0.001976047904191617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Phragmites australis</v>
      </c>
      <c r="E36" s="231" t="e">
        <f>IF(D36="",,VLOOKUP(D36,D$22:D35,1,0))</f>
        <v>#N/A</v>
      </c>
      <c r="F36" s="236">
        <f t="shared" si="0"/>
        <v>0.0006520958083832336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9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Phragmites australis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1579</v>
      </c>
      <c r="Q36" s="221">
        <f t="shared" si="1"/>
        <v>0.0006520958083832336</v>
      </c>
      <c r="R36" s="222">
        <f t="shared" si="2"/>
        <v>1</v>
      </c>
      <c r="S36" s="222">
        <f t="shared" si="3"/>
        <v>9</v>
      </c>
      <c r="T36" s="222">
        <f t="shared" si="4"/>
        <v>18</v>
      </c>
      <c r="U36" s="234">
        <f t="shared" si="5"/>
        <v>2</v>
      </c>
      <c r="V36" s="223">
        <f t="shared" si="6"/>
      </c>
      <c r="W36" s="224" t="s">
        <v>55</v>
      </c>
      <c r="Y36" s="225" t="str">
        <f>IF(A36="new.cod","NEWCOD",IF(AND((Z36=""),ISTEXT(A36)),A36,IF(Z36="","",INDEX('[1]liste reference'!$A$8:$A$904,Z36))))</f>
        <v>PHRAUS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635</v>
      </c>
      <c r="AA36" s="226"/>
      <c r="AB36" s="227"/>
      <c r="AC36" s="227"/>
      <c r="BB36" s="8">
        <f t="shared" si="7"/>
        <v>1</v>
      </c>
    </row>
    <row r="37" spans="1:54" ht="12.75">
      <c r="A37" s="228" t="s">
        <v>92</v>
      </c>
      <c r="B37" s="229">
        <v>0</v>
      </c>
      <c r="C37" s="230">
        <v>0.1337325349301397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Polygonum hydropiper</v>
      </c>
      <c r="E37" s="231" t="e">
        <f>IF(D37="",,VLOOKUP(D37,D$22:D36,1,0))</f>
        <v>#N/A</v>
      </c>
      <c r="F37" s="236">
        <f t="shared" si="0"/>
        <v>0.0441317365269461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8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Polygonum hydropiper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1865</v>
      </c>
      <c r="Q37" s="221">
        <f t="shared" si="1"/>
        <v>0.0441317365269461</v>
      </c>
      <c r="R37" s="222">
        <f t="shared" si="2"/>
        <v>1</v>
      </c>
      <c r="S37" s="222">
        <f t="shared" si="3"/>
        <v>8</v>
      </c>
      <c r="T37" s="222">
        <f t="shared" si="4"/>
        <v>16</v>
      </c>
      <c r="U37" s="234">
        <f t="shared" si="5"/>
        <v>2</v>
      </c>
      <c r="V37" s="223">
        <f t="shared" si="6"/>
      </c>
      <c r="W37" s="224" t="s">
        <v>55</v>
      </c>
      <c r="Y37" s="225" t="str">
        <f>IF(A37="new.cod","NEWCOD",IF(AND((Z37=""),ISTEXT(A37)),A37,IF(Z37="","",INDEX('[1]liste reference'!$A$8:$A$904,Z37))))</f>
        <v>POLHYD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637</v>
      </c>
      <c r="AA37" s="226"/>
      <c r="AB37" s="227"/>
      <c r="AC37" s="227"/>
      <c r="BB37" s="8">
        <f t="shared" si="7"/>
        <v>1</v>
      </c>
    </row>
    <row r="38" spans="1:54" ht="12.75">
      <c r="A38" s="228" t="s">
        <v>93</v>
      </c>
      <c r="B38" s="229">
        <v>0</v>
      </c>
      <c r="C38" s="230">
        <v>0.001976047904191617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Polygonum sp.</v>
      </c>
      <c r="E38" s="231" t="e">
        <f>IF(D38="",,VLOOKUP(D38,D$22:D37,1,0))</f>
        <v>#N/A</v>
      </c>
      <c r="F38" s="236">
        <f t="shared" si="0"/>
        <v>0.0006520958083832336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PHg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9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Polygonum sp.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1863</v>
      </c>
      <c r="Q38" s="221">
        <f t="shared" si="1"/>
        <v>0.0006520958083832336</v>
      </c>
      <c r="R38" s="222">
        <f t="shared" si="2"/>
        <v>1</v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 t="str">
        <f>IF(A38="new.cod","NEWCOD",IF(AND((Z38=""),ISTEXT(A38)),A38,IF(Z38="","",INDEX('[1]liste reference'!$A$8:$A$904,Z38))))</f>
        <v>POLSPX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799</v>
      </c>
      <c r="AA38" s="226"/>
      <c r="AB38" s="227"/>
      <c r="AC38" s="227"/>
      <c r="BB38" s="8">
        <f t="shared" si="7"/>
        <v>1</v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94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RHONE</v>
      </c>
      <c r="B84" s="265" t="str">
        <f>C3</f>
        <v>RHONE A BREIGNIER CORDON</v>
      </c>
      <c r="C84" s="266">
        <f>A4</f>
        <v>41887</v>
      </c>
      <c r="D84" s="267">
        <f>IF(ISERROR(SUM($T$23:$T$82)/SUM($U$23:$U$82)),"",SUM($T$23:$T$82)/SUM($U$23:$U$82))</f>
        <v>9.774193548387096</v>
      </c>
      <c r="E84" s="268">
        <f>N13</f>
        <v>16</v>
      </c>
      <c r="F84" s="265">
        <f>N14</f>
        <v>15</v>
      </c>
      <c r="G84" s="265">
        <f>N15</f>
        <v>4</v>
      </c>
      <c r="H84" s="265">
        <f>N16</f>
        <v>10</v>
      </c>
      <c r="I84" s="265">
        <f>N17</f>
        <v>1</v>
      </c>
      <c r="J84" s="269">
        <f>N8</f>
        <v>9.666666666666666</v>
      </c>
      <c r="K84" s="267">
        <f>N9</f>
        <v>1.9888578520235065</v>
      </c>
      <c r="L84" s="268">
        <f>N10</f>
        <v>6</v>
      </c>
      <c r="M84" s="268">
        <f>N11</f>
        <v>13</v>
      </c>
      <c r="N84" s="267">
        <f>O8</f>
        <v>1.8</v>
      </c>
      <c r="O84" s="267">
        <f>O9</f>
        <v>0.5416025603090641</v>
      </c>
      <c r="P84" s="268">
        <f>O10</f>
        <v>1</v>
      </c>
      <c r="Q84" s="268">
        <f>O11</f>
        <v>3</v>
      </c>
      <c r="R84" s="268">
        <f>F21</f>
        <v>0.7605217385049721</v>
      </c>
      <c r="S84" s="268">
        <f>K11</f>
        <v>0</v>
      </c>
      <c r="T84" s="268">
        <f>K12</f>
        <v>5</v>
      </c>
      <c r="U84" s="268">
        <f>K13</f>
        <v>2</v>
      </c>
      <c r="V84" s="270">
        <f>K14</f>
        <v>0</v>
      </c>
      <c r="W84" s="271">
        <f>K15</f>
        <v>9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95</v>
      </c>
      <c r="R86" s="8"/>
      <c r="S86" s="223"/>
      <c r="T86" s="8"/>
      <c r="U86" s="8"/>
      <c r="V86" s="8"/>
    </row>
    <row r="87" spans="16:22" ht="12.75" hidden="1">
      <c r="P87" s="8"/>
      <c r="Q87" s="8" t="s">
        <v>96</v>
      </c>
      <c r="R87" s="8"/>
      <c r="S87" s="223">
        <f>VLOOKUP(MAX($S$23:$S$82),($S$23:$U$82),1,0)</f>
        <v>20</v>
      </c>
      <c r="T87" s="8"/>
      <c r="U87" s="8"/>
      <c r="V87" s="8"/>
    </row>
    <row r="88" spans="16:22" ht="12.75" hidden="1">
      <c r="P88" s="8"/>
      <c r="Q88" s="8" t="s">
        <v>97</v>
      </c>
      <c r="R88" s="8"/>
      <c r="S88" s="223">
        <f>VLOOKUP((S87),($S$23:$U$82),2,0)</f>
        <v>40</v>
      </c>
      <c r="T88" s="8"/>
      <c r="U88" s="8"/>
      <c r="V88" s="8"/>
    </row>
    <row r="89" spans="17:20" ht="12.75" hidden="1">
      <c r="Q89" s="8" t="s">
        <v>98</v>
      </c>
      <c r="R89" s="8"/>
      <c r="S89" s="223">
        <f>VLOOKUP((S87),($S$23:$U$82),3,0)</f>
        <v>4</v>
      </c>
      <c r="T89" s="8"/>
    </row>
    <row r="90" spans="17:20" ht="12.75">
      <c r="Q90" s="8" t="s">
        <v>99</v>
      </c>
      <c r="R90" s="8"/>
      <c r="S90" s="274">
        <f>IF(ISERROR(SUM($T$23:$T$82)/SUM($U$23:$U$82)),"",(SUM($T$23:$T$82)-S88)/(SUM($U$23:$U$82)-S89))</f>
        <v>9.74074074074074</v>
      </c>
      <c r="T90" s="8"/>
    </row>
    <row r="91" spans="17:21" ht="12.75">
      <c r="Q91" s="222" t="s">
        <v>100</v>
      </c>
      <c r="R91" s="222"/>
      <c r="S91" s="222" t="str">
        <f>INDEX('[1]liste reference'!$A$8:$A$904,$T$91)</f>
        <v>RANFLU</v>
      </c>
      <c r="T91" s="8">
        <f>IF(ISERROR(MATCH($S$93,'[1]liste reference'!$A$8:$A$904,0)),MATCH($S$93,'[1]liste reference'!$B$8:$B$904,0),(MATCH($S$93,'[1]liste reference'!$A$8:$A$904,0)))</f>
        <v>456</v>
      </c>
      <c r="U91" s="263"/>
    </row>
    <row r="92" spans="17:20" ht="12.75">
      <c r="Q92" s="8" t="s">
        <v>101</v>
      </c>
      <c r="R92" s="8"/>
      <c r="S92" s="8">
        <f>MATCH(S87,$S$23:$S$82,0)</f>
        <v>12</v>
      </c>
      <c r="T92" s="8"/>
    </row>
    <row r="93" spans="17:20" ht="12.75">
      <c r="Q93" s="222" t="s">
        <v>102</v>
      </c>
      <c r="R93" s="8"/>
      <c r="S93" s="222" t="str">
        <f>INDEX($A$23:$A$82,$S$92)</f>
        <v>RANFLU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2015-04-17T14:52:14Z</dcterms:created>
  <dcterms:modified xsi:type="dcterms:W3CDTF">2015-04-17T14:52:22Z</dcterms:modified>
  <cp:category/>
  <cp:version/>
  <cp:contentType/>
  <cp:contentStatus/>
</cp:coreProperties>
</file>