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<sst xmlns="http://schemas.openxmlformats.org/spreadsheetml/2006/main" count="217" uniqueCount="94">
  <si>
    <t>Relevés floristiques aquatiques - IBMR</t>
  </si>
  <si>
    <t xml:space="preserve">Formulaire modèle GIS Macrophytes v 3.3 - novembre 2013  </t>
  </si>
  <si>
    <t>SAGE</t>
  </si>
  <si>
    <t>L. BOURGOIN M. SCHNEIDER</t>
  </si>
  <si>
    <t>conforme AFNOR T90-395 oct. 2003</t>
  </si>
  <si>
    <t>Bourbre</t>
  </si>
  <si>
    <t>Bourbre à Cessieu</t>
  </si>
  <si>
    <t>06080975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</si>
  <si>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</si>
  <si>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</si>
  <si>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</si>
  <si>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</si>
  <si>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</si>
  <si>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</si>
  <si>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</si>
  <si>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</si>
  <si>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FONANT</t>
  </si>
  <si>
    <t>Faciès dominant</t>
  </si>
  <si>
    <t>radier</t>
  </si>
  <si>
    <t>plat lentique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</si>
  <si>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</si>
  <si>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</si>
  <si>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</si>
  <si>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</si>
  <si>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</si>
  <si>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</si>
  <si>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</si>
  <si>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</si>
  <si>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</si>
  <si>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</si>
  <si>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</si>
  <si>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</si>
  <si>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</si>
  <si>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</si>
  <si>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</si>
  <si>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</si>
  <si>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</si>
  <si>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</si>
  <si>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</si>
  <si>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</si>
  <si>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</si>
  <si>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</si>
  <si>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</si>
  <si>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</si>
  <si>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</si>
  <si>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</si>
  <si>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</si>
  <si>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</si>
  <si>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</si>
  <si>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</si>
  <si>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</si>
  <si>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</si>
  <si>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</si>
  <si>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</si>
  <si>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</si>
  <si>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</si>
  <si>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</si>
  <si>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</si>
  <si>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</si>
  <si>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</si>
  <si>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</si>
  <si>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</si>
  <si>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</si>
  <si>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</si>
  <si>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</si>
  <si>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</si>
  <si>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</si>
  <si>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</si>
  <si>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</si>
  <si>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</si>
  <si>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</si>
  <si>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</si>
  <si>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</si>
  <si>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</si>
  <si>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</si>
  <si>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</si>
  <si>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</si>
  <si>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</si>
  <si>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AUDSPX</t>
  </si>
  <si>
    <t>CLASPX</t>
  </si>
  <si>
    <t>VAUSPX</t>
  </si>
  <si>
    <t>AMBRIP</t>
  </si>
  <si>
    <t>FISCRA</t>
  </si>
  <si>
    <t>RHYRIP</t>
  </si>
  <si>
    <t>LEMMIN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</si>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</sst>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36" borderId="32" xfId="0" applyNumberFormat="1" applyFont="1" applyFill="1" applyBorder="1" applyAlignment="1" applyProtection="1">
      <alignment horizontal="right" vertical="top"/>
      <protection hidden="1"/>
    </xf>
    <xf numFmtId="2" fontId="29" fillId="36" borderId="33" xfId="0" applyNumberFormat="1" applyFont="1" applyFill="1" applyBorder="1" applyAlignment="1" applyProtection="1">
      <alignment horizontal="left" vertical="top"/>
      <protection hidden="1"/>
    </xf>
    <xf numFmtId="2" fontId="30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36" borderId="37" xfId="0" applyFont="1" applyFill="1" applyBorder="1" applyAlignment="1" applyProtection="1">
      <alignment horizontal="left"/>
      <protection hidden="1"/>
    </xf>
    <xf numFmtId="0" fontId="22" fillId="36" borderId="38" xfId="0" applyFont="1" applyFill="1" applyBorder="1" applyAlignment="1" applyProtection="1">
      <alignment horizontal="right" vertical="top"/>
      <protection hidden="1"/>
    </xf>
    <xf numFmtId="0" fontId="32" fillId="36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BOUCES_16-09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41898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8.88888888888889</v>
      </c>
      <c r="M5" s="52"/>
      <c r="N5" s="53" t="s">
        <v>16</v>
      </c>
      <c r="O5" s="54">
        <v>8.666666666666666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95</v>
      </c>
      <c r="C7" s="66">
        <v>5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9</v>
      </c>
      <c r="O8" s="84">
        <f>IF(ISERROR(AVERAGE(J23:J82)),"      -",AVERAGE(J23:J82))</f>
        <v>1.375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5.01</v>
      </c>
      <c r="C9" s="87">
        <v>1.21</v>
      </c>
      <c r="D9" s="88"/>
      <c r="E9" s="88"/>
      <c r="F9" s="89">
        <f>($B9*$B$7+$C9*$C$7)/100</f>
        <v>4.82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3.278719262151</v>
      </c>
      <c r="O9" s="84">
        <f>IF(ISERROR(STDEVP(J23:J82)),"      -",STDEVP(J23:J82))</f>
        <v>0.4841229182759271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/>
      <c r="C10" s="99"/>
      <c r="D10" s="100"/>
      <c r="E10" s="100"/>
      <c r="F10" s="89"/>
      <c r="G10" s="90"/>
      <c r="H10" s="101"/>
      <c r="I10" s="102"/>
      <c r="J10" s="103" t="s">
        <v>32</v>
      </c>
      <c r="K10" s="103"/>
      <c r="L10" s="104"/>
      <c r="M10" s="105" t="s">
        <v>33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34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35</v>
      </c>
      <c r="J11" s="115"/>
      <c r="K11" s="116">
        <f>COUNTIF($G$23:$G$82,"=HET")</f>
        <v>0</v>
      </c>
      <c r="L11" s="117"/>
      <c r="M11" s="105" t="s">
        <v>36</v>
      </c>
      <c r="N11" s="106">
        <f>MAX(I23:I82)</f>
        <v>13</v>
      </c>
      <c r="O11" s="106">
        <f>MAX(J23:J82)</f>
        <v>2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37</v>
      </c>
      <c r="B12" s="119">
        <v>2.51</v>
      </c>
      <c r="C12" s="120">
        <v>1.1</v>
      </c>
      <c r="D12" s="111"/>
      <c r="E12" s="111"/>
      <c r="F12" s="112">
        <f>($B12*$B$7+$C12*$C$7)/100</f>
        <v>2.4395</v>
      </c>
      <c r="G12" s="121"/>
      <c r="H12" s="67"/>
      <c r="I12" s="122" t="s">
        <v>38</v>
      </c>
      <c r="J12" s="123"/>
      <c r="K12" s="116">
        <f>COUNTIF($G$23:$G$82,"=ALG")</f>
        <v>3</v>
      </c>
      <c r="L12" s="124"/>
      <c r="M12" s="125"/>
      <c r="N12" s="126" t="s">
        <v>32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39</v>
      </c>
      <c r="B13" s="119">
        <v>2.5</v>
      </c>
      <c r="C13" s="120">
        <v>0.1</v>
      </c>
      <c r="D13" s="111"/>
      <c r="E13" s="111"/>
      <c r="F13" s="112">
        <f>($B13*$B$7+$C13*$C$7)/100</f>
        <v>2.38</v>
      </c>
      <c r="G13" s="121"/>
      <c r="H13" s="67"/>
      <c r="I13" s="129" t="s">
        <v>40</v>
      </c>
      <c r="J13" s="123"/>
      <c r="K13" s="116">
        <f>COUNTIF($G$23:$G$82,"=BRm")+COUNTIF($G$23:$G$82,"=BRh")</f>
        <v>4</v>
      </c>
      <c r="L13" s="117"/>
      <c r="M13" s="130" t="s">
        <v>41</v>
      </c>
      <c r="N13" s="131">
        <f>COUNTIF(F23:F82,"&gt;0")</f>
        <v>8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42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43</v>
      </c>
      <c r="J14" s="123"/>
      <c r="K14" s="116">
        <f>COUNTIF($G$23:$G$82,"=PTE")+COUNTIF($G$23:$G$82,"=LIC")</f>
        <v>0</v>
      </c>
      <c r="L14" s="117"/>
      <c r="M14" s="134" t="s">
        <v>44</v>
      </c>
      <c r="N14" s="135">
        <f>COUNTIF($I$23:$I$82,"&gt;-1")</f>
        <v>8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45</v>
      </c>
      <c r="B15" s="138"/>
      <c r="C15" s="139">
        <v>0.01</v>
      </c>
      <c r="D15" s="111"/>
      <c r="E15" s="111"/>
      <c r="F15" s="112">
        <f>($B15*$B$7+$C15*$C$7)/100</f>
        <v>0.0005</v>
      </c>
      <c r="G15" s="121"/>
      <c r="H15" s="67"/>
      <c r="I15" s="129" t="s">
        <v>46</v>
      </c>
      <c r="J15" s="123"/>
      <c r="K15" s="116">
        <f>(COUNTIF($G$23:$G$82,"=PHy"))+(COUNTIF($G$23:$G$82,"=PHe"))+(COUNTIF($G$23:$G$82,"=PHg"))+(COUNTIF($G$23:$G$82,"=PHx"))</f>
        <v>1</v>
      </c>
      <c r="L15" s="117"/>
      <c r="M15" s="140" t="s">
        <v>47</v>
      </c>
      <c r="N15" s="141">
        <f>COUNTIF(J23:J82,"=1")</f>
        <v>5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48</v>
      </c>
      <c r="B16" s="109"/>
      <c r="C16" s="110">
        <v>0.01</v>
      </c>
      <c r="D16" s="143"/>
      <c r="E16" s="143"/>
      <c r="F16" s="144"/>
      <c r="G16" s="144">
        <f>($B16*$B$7+$C16*$C$7)/100</f>
        <v>0.0005</v>
      </c>
      <c r="H16" s="67"/>
      <c r="I16" s="145"/>
      <c r="J16" s="146"/>
      <c r="K16" s="146"/>
      <c r="L16" s="117"/>
      <c r="M16" s="140" t="s">
        <v>49</v>
      </c>
      <c r="N16" s="141">
        <f>COUNTIF(J23:J82,"=2")</f>
        <v>3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50</v>
      </c>
      <c r="B17" s="119">
        <v>5.01</v>
      </c>
      <c r="C17" s="120">
        <v>1.2</v>
      </c>
      <c r="D17" s="111"/>
      <c r="E17" s="111"/>
      <c r="F17" s="147"/>
      <c r="G17" s="112">
        <f>($B17*$B$7+$C17*$C$7)/100</f>
        <v>4.8195</v>
      </c>
      <c r="H17" s="67"/>
      <c r="I17" s="129"/>
      <c r="J17" s="123"/>
      <c r="K17" s="146"/>
      <c r="L17" s="117"/>
      <c r="M17" s="140" t="s">
        <v>51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52</v>
      </c>
      <c r="B18" s="150"/>
      <c r="C18" s="151"/>
      <c r="D18" s="111"/>
      <c r="E18" s="152" t="s">
        <v>53</v>
      </c>
      <c r="F18" s="147"/>
      <c r="G18" s="112">
        <f>($B18*$B$7+$C18*$C$7)/100</f>
        <v>0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54</v>
      </c>
      <c r="W18" s="155" t="s">
        <v>54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4.819999999999999</v>
      </c>
      <c r="G19" s="161">
        <f>SUM(G16:G18)</f>
        <v>4.819999999999999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54</v>
      </c>
      <c r="W19" s="155" t="s">
        <v>54</v>
      </c>
    </row>
    <row r="20" spans="1:23" ht="12.75">
      <c r="A20" s="169" t="s">
        <v>55</v>
      </c>
      <c r="B20" s="170">
        <f>SUM(B23:B82)</f>
        <v>5.01</v>
      </c>
      <c r="C20" s="171">
        <f>SUM(C23:C82)</f>
        <v>1.2100000000000002</v>
      </c>
      <c r="D20" s="172"/>
      <c r="E20" s="173" t="s">
        <v>53</v>
      </c>
      <c r="F20" s="174">
        <f>($B20*$B$7+$C20*$C$7)/100</f>
        <v>4.82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54</v>
      </c>
      <c r="W20" s="155" t="s">
        <v>54</v>
      </c>
    </row>
    <row r="21" spans="1:23" ht="12.75">
      <c r="A21" s="183" t="s">
        <v>57</v>
      </c>
      <c r="B21" s="184">
        <f>B20*B7/100</f>
        <v>4.7595</v>
      </c>
      <c r="C21" s="184">
        <f>C20*C7/100</f>
        <v>0.060500000000000005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4.82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54</v>
      </c>
      <c r="W21" s="155" t="s">
        <v>54</v>
      </c>
    </row>
    <row r="22" spans="1:29" ht="12.75">
      <c r="A22" s="194" t="s">
        <v>59</v>
      </c>
      <c r="B22" s="195" t="s">
        <v>60</v>
      </c>
      <c r="C22" s="196" t="s">
        <v>60</v>
      </c>
      <c r="D22" s="143"/>
      <c r="E22" s="143"/>
      <c r="F22" s="197" t="s">
        <v>61</v>
      </c>
      <c r="G22" s="198" t="s">
        <v>62</v>
      </c>
      <c r="H22" s="143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2.75">
      <c r="A23" s="210" t="s">
        <v>78</v>
      </c>
      <c r="B23" s="211">
        <v>0.01</v>
      </c>
      <c r="C23" s="212">
        <v>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Audouinella sp.</v>
      </c>
      <c r="E23" s="213" t="e">
        <f>IF(D23="",,VLOOKUP(D23,D$22:D22,1,0))</f>
        <v>#N/A</v>
      </c>
      <c r="F23" s="214">
        <f aca="true" t="shared" si="0" ref="F23:F82">($B23*$B$7+$C23*$C$7)/100</f>
        <v>0.009500000000000001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13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Audouinella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6076</v>
      </c>
      <c r="Q23" s="221">
        <f aca="true" t="shared" si="1" ref="Q23:Q82">IF(ISTEXT(H23),"",(B23*$B$7/100)+(C23*$C$7/100))</f>
        <v>0.009500000000000001</v>
      </c>
      <c r="R23" s="222">
        <f aca="true" t="shared" si="2" ref="R23:R82">IF(OR(ISTEXT(H23),Q23=0),"",IF(Q23&lt;0.1,1,IF(Q23&lt;1,2,IF(Q23&lt;10,3,IF(Q23&lt;50,4,IF(Q23&gt;=50,5,""))))))</f>
        <v>1</v>
      </c>
      <c r="S23" s="222">
        <f aca="true" t="shared" si="3" ref="S23:S82">IF(ISERROR(R23*I23),0,R23*I23)</f>
        <v>13</v>
      </c>
      <c r="T23" s="222">
        <f aca="true" t="shared" si="4" ref="T23:T82">IF(ISERROR(R23*I23*J23),0,R23*I23*J23)</f>
        <v>26</v>
      </c>
      <c r="U23" s="222">
        <f aca="true" t="shared" si="5" ref="U23:U82">IF(ISERROR(R23*J23),0,R23*J23)</f>
        <v>2</v>
      </c>
      <c r="V23" s="223">
        <f aca="true" t="shared" si="6" ref="V23:V82">IF(AND(A23="",F23=0),"",IF(F23=0,"Il manque le(s) % de rec. !",""))</f>
      </c>
      <c r="W23" s="224" t="s">
        <v>54</v>
      </c>
      <c r="Y23" s="225" t="str">
        <f>IF(A23="new.cod","NEWCOD",IF(AND((Z23=""),ISTEXT(A23)),A23,IF(Z23="","",INDEX('[1]liste reference'!$A$8:$A$904,Z23))))</f>
        <v>AUDSPX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5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79</v>
      </c>
      <c r="B24" s="229">
        <v>0.6</v>
      </c>
      <c r="C24" s="230">
        <v>0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Cladophora sp.</v>
      </c>
      <c r="E24" s="231" t="e">
        <f>IF(D24="",,VLOOKUP(D24,D$22:D23,1,0))</f>
        <v>#N/A</v>
      </c>
      <c r="F24" s="232">
        <f t="shared" si="0"/>
        <v>0.57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6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Cladophora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1124</v>
      </c>
      <c r="Q24" s="221">
        <f t="shared" si="1"/>
        <v>0.57</v>
      </c>
      <c r="R24" s="222">
        <f t="shared" si="2"/>
        <v>2</v>
      </c>
      <c r="S24" s="222">
        <f t="shared" si="3"/>
        <v>12</v>
      </c>
      <c r="T24" s="222">
        <f t="shared" si="4"/>
        <v>12</v>
      </c>
      <c r="U24" s="234">
        <f t="shared" si="5"/>
        <v>2</v>
      </c>
      <c r="V24" s="223">
        <f t="shared" si="6"/>
      </c>
      <c r="W24" s="224" t="s">
        <v>54</v>
      </c>
      <c r="Y24" s="225" t="str">
        <f>IF(A24="new.cod","NEWCOD",IF(AND((Z24=""),ISTEXT(A24)),A24,IF(Z24="","",INDEX('[1]liste reference'!$A$8:$A$904,Z24))))</f>
        <v>CLASPX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23</v>
      </c>
      <c r="AA24" s="226"/>
      <c r="AB24" s="227"/>
      <c r="AC24" s="227"/>
      <c r="BB24" s="8">
        <f t="shared" si="7"/>
        <v>1</v>
      </c>
    </row>
    <row r="25" spans="1:54" ht="12.75">
      <c r="A25" s="228" t="s">
        <v>80</v>
      </c>
      <c r="B25" s="229">
        <v>1.9000000000000001</v>
      </c>
      <c r="C25" s="230">
        <v>1.1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Vaucheria sp.</v>
      </c>
      <c r="E25" s="231" t="e">
        <f>IF(D25="",,VLOOKUP(D25,D$22:D24,1,0))</f>
        <v>#N/A</v>
      </c>
      <c r="F25" s="232">
        <f t="shared" si="0"/>
        <v>1.86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4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Vaucheria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6193</v>
      </c>
      <c r="Q25" s="221">
        <f t="shared" si="1"/>
        <v>1.8599999999999999</v>
      </c>
      <c r="R25" s="222">
        <f t="shared" si="2"/>
        <v>3</v>
      </c>
      <c r="S25" s="222">
        <f t="shared" si="3"/>
        <v>12</v>
      </c>
      <c r="T25" s="222">
        <f t="shared" si="4"/>
        <v>12</v>
      </c>
      <c r="U25" s="234">
        <f t="shared" si="5"/>
        <v>3</v>
      </c>
      <c r="V25" s="223">
        <f t="shared" si="6"/>
      </c>
      <c r="W25" s="224" t="s">
        <v>54</v>
      </c>
      <c r="Y25" s="225" t="str">
        <f>IF(A25="new.cod","NEWCOD",IF(AND((Z25=""),ISTEXT(A25)),A25,IF(Z25="","",INDEX('[1]liste reference'!$A$8:$A$904,Z25))))</f>
        <v>VAUSPX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82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81</v>
      </c>
      <c r="B26" s="229">
        <v>0.05</v>
      </c>
      <c r="C26" s="230">
        <v>0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Amblystegium riparium</v>
      </c>
      <c r="E26" s="231" t="e">
        <f>IF(D26="",,VLOOKUP(D26,D$22:D25,1,0))</f>
        <v>#N/A</v>
      </c>
      <c r="F26" s="232">
        <f t="shared" si="0"/>
        <v>0.0475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BRm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5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5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Amblystegium riparium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1219</v>
      </c>
      <c r="Q26" s="221">
        <f t="shared" si="1"/>
        <v>0.0475</v>
      </c>
      <c r="R26" s="222">
        <f t="shared" si="2"/>
        <v>1</v>
      </c>
      <c r="S26" s="222">
        <f t="shared" si="3"/>
        <v>5</v>
      </c>
      <c r="T26" s="222">
        <f t="shared" si="4"/>
        <v>10</v>
      </c>
      <c r="U26" s="234">
        <f t="shared" si="5"/>
        <v>2</v>
      </c>
      <c r="V26" s="223">
        <f t="shared" si="6"/>
      </c>
      <c r="W26" s="224" t="s">
        <v>54</v>
      </c>
      <c r="Y26" s="225" t="str">
        <f>IF(A26="new.cod","NEWCOD",IF(AND((Z26=""),ISTEXT(A26)),A26,IF(Z26="","",INDEX('[1]liste reference'!$A$8:$A$904,Z26))))</f>
        <v>AMBRIP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148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82</v>
      </c>
      <c r="B27" s="229">
        <v>0.8500000000000001</v>
      </c>
      <c r="C27" s="230">
        <v>0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Fissidens crassipes</v>
      </c>
      <c r="E27" s="231" t="e">
        <f>IF(D27="",,VLOOKUP(D27,D$22:D26,1,0))</f>
        <v>#N/A</v>
      </c>
      <c r="F27" s="232">
        <f t="shared" si="0"/>
        <v>0.8075000000000001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12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Fissidens crassipes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1294</v>
      </c>
      <c r="Q27" s="221">
        <f t="shared" si="1"/>
        <v>0.8075000000000001</v>
      </c>
      <c r="R27" s="222">
        <f t="shared" si="2"/>
        <v>2</v>
      </c>
      <c r="S27" s="222">
        <f t="shared" si="3"/>
        <v>24</v>
      </c>
      <c r="T27" s="222">
        <f t="shared" si="4"/>
        <v>48</v>
      </c>
      <c r="U27" s="234">
        <f t="shared" si="5"/>
        <v>4</v>
      </c>
      <c r="V27" s="223">
        <f t="shared" si="6"/>
      </c>
      <c r="W27" s="235" t="s">
        <v>54</v>
      </c>
      <c r="Y27" s="225" t="str">
        <f>IF(A27="new.cod","NEWCOD",IF(AND((Z27=""),ISTEXT(A27)),A27,IF(Z27="","",INDEX('[1]liste reference'!$A$8:$A$904,Z27))))</f>
        <v>FISCRA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197</v>
      </c>
      <c r="AA27" s="226"/>
      <c r="AB27" s="227"/>
      <c r="AC27" s="227"/>
      <c r="BB27" s="8">
        <f t="shared" si="7"/>
        <v>1</v>
      </c>
    </row>
    <row r="28" spans="1:54" ht="12.75">
      <c r="A28" s="228" t="s">
        <v>16</v>
      </c>
      <c r="B28" s="229">
        <v>1.4999999999999998</v>
      </c>
      <c r="C28" s="230">
        <v>0.10000000000000002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Fontinalis antipyretica</v>
      </c>
      <c r="E28" s="231" t="e">
        <f>IF(D28="",,VLOOKUP(D28,D$22:D27,1,0))</f>
        <v>#N/A</v>
      </c>
      <c r="F28" s="232">
        <f t="shared" si="0"/>
        <v>1.4299999999999997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10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Fontinalis antipyretica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1310</v>
      </c>
      <c r="Q28" s="221">
        <f t="shared" si="1"/>
        <v>1.4299999999999997</v>
      </c>
      <c r="R28" s="222">
        <f t="shared" si="2"/>
        <v>3</v>
      </c>
      <c r="S28" s="222">
        <f t="shared" si="3"/>
        <v>30</v>
      </c>
      <c r="T28" s="222">
        <f t="shared" si="4"/>
        <v>30</v>
      </c>
      <c r="U28" s="234">
        <f t="shared" si="5"/>
        <v>3</v>
      </c>
      <c r="V28" s="223">
        <f t="shared" si="6"/>
      </c>
      <c r="W28" s="224" t="s">
        <v>54</v>
      </c>
      <c r="Y28" s="225" t="str">
        <f>IF(A28="new.cod","NEWCOD",IF(AND((Z28=""),ISTEXT(A28)),A28,IF(Z28="","",INDEX('[1]liste reference'!$A$8:$A$904,Z28))))</f>
        <v>FONANT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210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83</v>
      </c>
      <c r="B29" s="229">
        <v>0.1</v>
      </c>
      <c r="C29" s="230">
        <v>0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Rhynchostegium riparioides</v>
      </c>
      <c r="E29" s="231" t="e">
        <f>IF(D29="",,VLOOKUP(D29,D$22:D28,1,0))</f>
        <v>#N/A</v>
      </c>
      <c r="F29" s="232">
        <f t="shared" si="0"/>
        <v>0.095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12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Rhynchostegium riparioides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1268</v>
      </c>
      <c r="Q29" s="221">
        <f t="shared" si="1"/>
        <v>0.095</v>
      </c>
      <c r="R29" s="222">
        <f t="shared" si="2"/>
        <v>1</v>
      </c>
      <c r="S29" s="222">
        <f t="shared" si="3"/>
        <v>12</v>
      </c>
      <c r="T29" s="222">
        <f t="shared" si="4"/>
        <v>12</v>
      </c>
      <c r="U29" s="234">
        <f t="shared" si="5"/>
        <v>1</v>
      </c>
      <c r="V29" s="223">
        <f t="shared" si="6"/>
      </c>
      <c r="W29" s="224" t="s">
        <v>54</v>
      </c>
      <c r="X29" s="224"/>
      <c r="Y29" s="225" t="str">
        <f>IF(A29="new.cod","NEWCOD",IF(AND((Z29=""),ISTEXT(A29)),A29,IF(Z29="","",INDEX('[1]liste reference'!$A$8:$A$904,Z29))))</f>
        <v>RHYRIP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252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84</v>
      </c>
      <c r="B30" s="229">
        <v>0</v>
      </c>
      <c r="C30" s="230">
        <v>0.01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Lemna minor</v>
      </c>
      <c r="E30" s="231" t="e">
        <f>IF(D30="",,VLOOKUP(D30,D$22:D29,1,0))</f>
        <v>#N/A</v>
      </c>
      <c r="F30" s="232">
        <f t="shared" si="0"/>
        <v>0.0005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PHy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7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10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1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Lemna minor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1626</v>
      </c>
      <c r="Q30" s="221">
        <f t="shared" si="1"/>
        <v>0.0005</v>
      </c>
      <c r="R30" s="222">
        <f t="shared" si="2"/>
        <v>1</v>
      </c>
      <c r="S30" s="222">
        <f t="shared" si="3"/>
        <v>10</v>
      </c>
      <c r="T30" s="222">
        <f t="shared" si="4"/>
        <v>10</v>
      </c>
      <c r="U30" s="234">
        <f t="shared" si="5"/>
        <v>1</v>
      </c>
      <c r="V30" s="223">
        <f t="shared" si="6"/>
      </c>
      <c r="W30" s="224" t="s">
        <v>54</v>
      </c>
      <c r="Y30" s="225" t="str">
        <f>IF(A30="new.cod","NEWCOD",IF(AND((Z30=""),ISTEXT(A30)),A30,IF(Z30="","",INDEX('[1]liste reference'!$A$8:$A$904,Z30))))</f>
        <v>LEMMIN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357</v>
      </c>
      <c r="AA30" s="226"/>
      <c r="AB30" s="227"/>
      <c r="AC30" s="227"/>
      <c r="BB30" s="8">
        <f t="shared" si="7"/>
        <v>1</v>
      </c>
    </row>
    <row r="31" spans="1:54" ht="12.75">
      <c r="A31" s="228" t="s">
        <v>54</v>
      </c>
      <c r="B31" s="229"/>
      <c r="C31" s="230"/>
      <c r="D31" s="21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1">
        <f>IF(D31="",,VLOOKUP(D31,D$22:D30,1,0))</f>
        <v>0</v>
      </c>
      <c r="F31" s="232">
        <f t="shared" si="0"/>
        <v>0</v>
      </c>
      <c r="G31" s="21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1">
        <f t="shared" si="1"/>
      </c>
      <c r="R31" s="222">
        <f t="shared" si="2"/>
      </c>
      <c r="S31" s="222">
        <f t="shared" si="3"/>
        <v>0</v>
      </c>
      <c r="T31" s="222">
        <f t="shared" si="4"/>
        <v>0</v>
      </c>
      <c r="U31" s="234">
        <f t="shared" si="5"/>
        <v>0</v>
      </c>
      <c r="V31" s="223">
        <f t="shared" si="6"/>
      </c>
      <c r="W31" s="224" t="s">
        <v>54</v>
      </c>
      <c r="Y31" s="22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6"/>
      <c r="AB31" s="227"/>
      <c r="AC31" s="227"/>
      <c r="BB31" s="8">
        <f t="shared" si="7"/>
      </c>
    </row>
    <row r="32" spans="1:54" ht="12.75">
      <c r="A32" s="228" t="s">
        <v>54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0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1"/>
      </c>
      <c r="R32" s="222">
        <f t="shared" si="2"/>
      </c>
      <c r="S32" s="222">
        <f t="shared" si="3"/>
        <v>0</v>
      </c>
      <c r="T32" s="222">
        <f t="shared" si="4"/>
        <v>0</v>
      </c>
      <c r="U32" s="234">
        <f t="shared" si="5"/>
        <v>0</v>
      </c>
      <c r="V32" s="223">
        <f t="shared" si="6"/>
      </c>
      <c r="W32" s="224" t="s">
        <v>54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7"/>
      </c>
    </row>
    <row r="33" spans="1:54" ht="12.75">
      <c r="A33" s="228" t="s">
        <v>54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54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54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54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54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54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54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54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54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54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54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54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54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54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54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54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54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54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54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54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54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54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54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54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54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54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54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54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54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54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54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54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54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54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54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54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54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54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54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54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54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54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54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54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54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54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54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54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54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54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54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54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54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54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54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54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54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54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54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54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54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54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54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54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54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54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54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54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54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54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54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54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54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54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54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54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54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54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54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54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54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54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54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54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54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54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54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54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54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54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54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54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54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54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54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54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54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54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54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54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85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Bourbre</v>
      </c>
      <c r="B84" s="265" t="str">
        <f>C3</f>
        <v>Bourbre à Cessieu</v>
      </c>
      <c r="C84" s="266">
        <f>A4</f>
        <v>41898</v>
      </c>
      <c r="D84" s="267">
        <f>IF(ISERROR(SUM($T$23:$T$82)/SUM($U$23:$U$82)),"",SUM($T$23:$T$82)/SUM($U$23:$U$82))</f>
        <v>8.88888888888889</v>
      </c>
      <c r="E84" s="268">
        <f>N13</f>
        <v>8</v>
      </c>
      <c r="F84" s="265">
        <f>N14</f>
        <v>8</v>
      </c>
      <c r="G84" s="265">
        <f>N15</f>
        <v>5</v>
      </c>
      <c r="H84" s="265">
        <f>N16</f>
        <v>3</v>
      </c>
      <c r="I84" s="265">
        <f>N17</f>
        <v>0</v>
      </c>
      <c r="J84" s="269">
        <f>N8</f>
        <v>9</v>
      </c>
      <c r="K84" s="267">
        <f>N9</f>
        <v>3.278719262151</v>
      </c>
      <c r="L84" s="268">
        <f>N10</f>
        <v>4</v>
      </c>
      <c r="M84" s="268">
        <f>N11</f>
        <v>13</v>
      </c>
      <c r="N84" s="267">
        <f>O8</f>
        <v>1.375</v>
      </c>
      <c r="O84" s="267">
        <f>O9</f>
        <v>0.4841229182759271</v>
      </c>
      <c r="P84" s="268">
        <f>O10</f>
        <v>1</v>
      </c>
      <c r="Q84" s="268">
        <f>O11</f>
        <v>2</v>
      </c>
      <c r="R84" s="268">
        <f>F21</f>
        <v>4.82</v>
      </c>
      <c r="S84" s="268">
        <f>K11</f>
        <v>0</v>
      </c>
      <c r="T84" s="268">
        <f>K12</f>
        <v>3</v>
      </c>
      <c r="U84" s="268">
        <f>K13</f>
        <v>4</v>
      </c>
      <c r="V84" s="270">
        <f>K14</f>
        <v>0</v>
      </c>
      <c r="W84" s="271">
        <f>K15</f>
        <v>1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86</v>
      </c>
      <c r="R86" s="8"/>
      <c r="S86" s="223"/>
      <c r="T86" s="8"/>
      <c r="U86" s="8"/>
      <c r="V86" s="8"/>
    </row>
    <row r="87" spans="16:22" ht="12.75" hidden="1">
      <c r="P87" s="8"/>
      <c r="Q87" s="8" t="s">
        <v>87</v>
      </c>
      <c r="R87" s="8"/>
      <c r="S87" s="223">
        <f>VLOOKUP(MAX($S$23:$S$82),($S$23:$U$82),1,0)</f>
        <v>30</v>
      </c>
      <c r="T87" s="8"/>
      <c r="U87" s="8"/>
      <c r="V87" s="8"/>
    </row>
    <row r="88" spans="16:22" ht="12.75" hidden="1">
      <c r="P88" s="8"/>
      <c r="Q88" s="8" t="s">
        <v>88</v>
      </c>
      <c r="R88" s="8"/>
      <c r="S88" s="223">
        <f>VLOOKUP((S87),($S$23:$U$82),2,0)</f>
        <v>30</v>
      </c>
      <c r="T88" s="8"/>
      <c r="U88" s="8"/>
      <c r="V88" s="8"/>
    </row>
    <row r="89" spans="17:20" ht="12.75" hidden="1">
      <c r="Q89" s="8" t="s">
        <v>89</v>
      </c>
      <c r="R89" s="8"/>
      <c r="S89" s="223">
        <f>VLOOKUP((S87),($S$23:$U$82),3,0)</f>
        <v>3</v>
      </c>
      <c r="T89" s="8"/>
    </row>
    <row r="90" spans="17:20" ht="12.75">
      <c r="Q90" s="8" t="s">
        <v>90</v>
      </c>
      <c r="R90" s="8"/>
      <c r="S90" s="274">
        <f>IF(ISERROR(SUM($T$23:$T$82)/SUM($U$23:$U$82)),"",(SUM($T$23:$T$82)-S88)/(SUM($U$23:$U$82)-S89))</f>
        <v>8.666666666666666</v>
      </c>
      <c r="T90" s="8"/>
    </row>
    <row r="91" spans="17:21" ht="12.75">
      <c r="Q91" s="222" t="s">
        <v>91</v>
      </c>
      <c r="R91" s="222"/>
      <c r="S91" s="222" t="str">
        <f>INDEX('[1]liste reference'!$A$8:$A$904,$T$91)</f>
        <v>FONANT</v>
      </c>
      <c r="T91" s="8">
        <f>IF(ISERROR(MATCH($S$93,'[1]liste reference'!$A$8:$A$904,0)),MATCH($S$93,'[1]liste reference'!$B$8:$B$904,0),(MATCH($S$93,'[1]liste reference'!$A$8:$A$904,0)))</f>
        <v>210</v>
      </c>
      <c r="U91" s="263"/>
    </row>
    <row r="92" spans="17:20" ht="12.75">
      <c r="Q92" s="8" t="s">
        <v>92</v>
      </c>
      <c r="R92" s="8"/>
      <c r="S92" s="8">
        <f>MATCH(S87,$S$23:$S$82,0)</f>
        <v>6</v>
      </c>
      <c r="T92" s="8"/>
    </row>
    <row r="93" spans="17:20" ht="12.75">
      <c r="Q93" s="222" t="s">
        <v>93</v>
      </c>
      <c r="R93" s="8"/>
      <c r="S93" s="222" t="str">
        <f>INDEX($A$23:$A$82,$S$92)</f>
        <v>FONANT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2015-04-24T12:27:34Z</dcterms:created>
  <dcterms:modified xsi:type="dcterms:W3CDTF">2015-04-24T12:27:42Z</dcterms:modified>
  <cp:category/>
  <cp:version/>
  <cp:contentType/>
  <cp:contentStatus/>
</cp:coreProperties>
</file>