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628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<sst xmlns="http://schemas.openxmlformats.org/spreadsheetml/2006/main" count="219" uniqueCount="99">
  <si>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</si>
  <si>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</si>
  <si>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</si>
  <si>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</si>
  <si>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</si>
  <si>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Bourbre</t>
  </si>
  <si>
    <t>Bourbre à Tigneu Jameyzieux</t>
  </si>
  <si>
    <t>06082500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</si>
  <si>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</si>
  <si>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</si>
  <si>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</si>
  <si>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</si>
  <si>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</si>
  <si>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</si>
  <si>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</si>
  <si>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</si>
  <si>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FONANT</t>
  </si>
  <si>
    <t>Faciès dominant</t>
  </si>
  <si>
    <t>chenal lotique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</si>
  <si>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</si>
  <si>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</si>
  <si>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</si>
  <si>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</si>
  <si>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</si>
  <si>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</si>
  <si>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</si>
  <si>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</si>
  <si>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</si>
  <si>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</si>
  <si>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</si>
  <si>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</si>
  <si>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</si>
  <si>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</si>
  <si>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</si>
  <si>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</si>
  <si>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</si>
  <si>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</si>
  <si>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</si>
  <si>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</si>
  <si>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</si>
  <si>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</si>
  <si>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</si>
  <si>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</si>
  <si>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</si>
  <si>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</si>
  <si>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</si>
  <si>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</si>
  <si>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</si>
  <si>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</si>
  <si>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</si>
  <si>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</si>
  <si>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</si>
  <si>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</si>
  <si>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</si>
  <si>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</si>
  <si>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</si>
  <si>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</si>
  <si>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</si>
  <si>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</si>
  <si>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</si>
  <si>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</si>
  <si>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</si>
  <si>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</si>
  <si>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</si>
  <si>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</si>
  <si>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</si>
  <si>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</si>
  <si>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</si>
  <si>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</si>
  <si>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</si>
  <si>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</si>
  <si>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</si>
  <si>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</si>
  <si>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</si>
  <si>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</si>
  <si>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</si>
  <si>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</si>
  <si>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</si>
  <si>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</si>
  <si>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</si>
  <si>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</si>
  <si>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AMBRIP</t>
  </si>
  <si>
    <t>CINFON</t>
  </si>
  <si>
    <t>CERDEM</t>
  </si>
  <si>
    <t>ELONUT</t>
  </si>
  <si>
    <t>POTPEC</t>
  </si>
  <si>
    <t>ZANPAL</t>
  </si>
  <si>
    <t>GLYFLU</t>
  </si>
  <si>
    <t>PHAARU</t>
  </si>
  <si>
    <t>VERANA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</si>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</sst>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4" borderId="32" xfId="0" applyNumberFormat="1" applyFont="1" applyFill="1" applyBorder="1" applyAlignment="1" applyProtection="1">
      <alignment horizontal="right" vertical="top"/>
      <protection hidden="1"/>
    </xf>
    <xf numFmtId="2" fontId="29" fillId="34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4" borderId="37" xfId="0" applyFont="1" applyFill="1" applyBorder="1" applyAlignment="1" applyProtection="1">
      <alignment horizontal="left"/>
      <protection hidden="1"/>
    </xf>
    <xf numFmtId="0" fontId="22" fillId="34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BOTIG_18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I43" sqref="I43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7.458333333333333</v>
      </c>
      <c r="M5" s="52"/>
      <c r="N5" s="53" t="s">
        <v>16</v>
      </c>
      <c r="O5" s="54">
        <v>7.2272727272727275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99</v>
      </c>
      <c r="C7" s="66">
        <v>1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7.666666666666667</v>
      </c>
      <c r="O8" s="84">
        <f>IF(ISERROR(AVERAGE(J23:J82)),"      -",AVERAGE(J23:J82))</f>
        <v>1.5833333333333333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2.06</v>
      </c>
      <c r="C9" s="87">
        <v>0.01</v>
      </c>
      <c r="D9" s="88"/>
      <c r="E9" s="88"/>
      <c r="F9" s="89">
        <f>($B9*$B$7+$C9*$C$7)/100</f>
        <v>2.0395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3.5433819375782165</v>
      </c>
      <c r="O9" s="84">
        <f>IF(ISERROR(STDEVP(J23:J82)),"      -",STDEVP(J23:J82))</f>
        <v>0.4930066485916347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2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14</v>
      </c>
      <c r="O11" s="106">
        <f>MAX(J23:J82)</f>
        <v>2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</v>
      </c>
      <c r="C12" s="120"/>
      <c r="D12" s="111"/>
      <c r="E12" s="111"/>
      <c r="F12" s="112">
        <f>($B12*$B$7+$C12*$C$7)/100</f>
        <v>0.99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0.91</v>
      </c>
      <c r="C13" s="120"/>
      <c r="D13" s="111"/>
      <c r="E13" s="111"/>
      <c r="F13" s="112">
        <f>($B13*$B$7+$C13*$C$7)/100</f>
        <v>0.9009</v>
      </c>
      <c r="G13" s="121"/>
      <c r="H13" s="67"/>
      <c r="I13" s="129" t="s">
        <v>41</v>
      </c>
      <c r="J13" s="123"/>
      <c r="K13" s="116">
        <f>COUNTIF($G$23:$G$82,"=BRm")+COUNTIF($G$23:$G$82,"=BRh")</f>
        <v>3</v>
      </c>
      <c r="L13" s="117"/>
      <c r="M13" s="130" t="s">
        <v>42</v>
      </c>
      <c r="N13" s="131">
        <f>COUNTIF(F23:F82,"&gt;0")</f>
        <v>12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12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>
        <v>0.15</v>
      </c>
      <c r="C15" s="139">
        <v>0.01</v>
      </c>
      <c r="D15" s="111"/>
      <c r="E15" s="111"/>
      <c r="F15" s="112">
        <f>($B15*$B$7+$C15*$C$7)/100</f>
        <v>0.14859999999999998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7</v>
      </c>
      <c r="L15" s="117"/>
      <c r="M15" s="140" t="s">
        <v>48</v>
      </c>
      <c r="N15" s="141">
        <f>COUNTIF(J23:J82,"=1")</f>
        <v>5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7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2.04</v>
      </c>
      <c r="C17" s="120">
        <v>0.01</v>
      </c>
      <c r="D17" s="111"/>
      <c r="E17" s="111"/>
      <c r="F17" s="147"/>
      <c r="G17" s="112">
        <f>($B17*$B$7+$C17*$C$7)/100</f>
        <v>2.0197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0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>
        <v>0.02</v>
      </c>
      <c r="C18" s="151"/>
      <c r="D18" s="111"/>
      <c r="E18" s="152" t="s">
        <v>54</v>
      </c>
      <c r="F18" s="147"/>
      <c r="G18" s="112">
        <f>($B18*$B$7+$C18*$C$7)/100</f>
        <v>0.019799999999999998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2.0395</v>
      </c>
      <c r="G19" s="161">
        <f>SUM(G16:G18)</f>
        <v>2.0395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2.0599999999999996</v>
      </c>
      <c r="C20" s="171">
        <f>SUM(C23:C82)</f>
        <v>0.01</v>
      </c>
      <c r="D20" s="172"/>
      <c r="E20" s="173" t="s">
        <v>54</v>
      </c>
      <c r="F20" s="174">
        <f>($B20*$B$7+$C20*$C$7)/100</f>
        <v>2.0394999999999994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2.0393999999999997</v>
      </c>
      <c r="C21" s="184">
        <f>C20*C7/100</f>
        <v>0.0001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2.0395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0.5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0.495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0.495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0.5</v>
      </c>
      <c r="C24" s="230">
        <v>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31" t="e">
        <f>IF(D24="",,VLOOKUP(D24,D$22:D23,1,0))</f>
        <v>#N/A</v>
      </c>
      <c r="F24" s="232">
        <f t="shared" si="0"/>
        <v>0.495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21">
        <f t="shared" si="1"/>
        <v>0.495</v>
      </c>
      <c r="R24" s="222">
        <f t="shared" si="2"/>
        <v>2</v>
      </c>
      <c r="S24" s="222">
        <f t="shared" si="3"/>
        <v>8</v>
      </c>
      <c r="T24" s="222">
        <f t="shared" si="4"/>
        <v>8</v>
      </c>
      <c r="U24" s="234">
        <f t="shared" si="5"/>
        <v>2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0.2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riparium</v>
      </c>
      <c r="E25" s="231" t="e">
        <f>IF(D25="",,VLOOKUP(D25,D$22:D24,1,0))</f>
        <v>#N/A</v>
      </c>
      <c r="F25" s="232">
        <f t="shared" si="0"/>
        <v>0.198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riparium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1219</v>
      </c>
      <c r="Q25" s="221">
        <f t="shared" si="1"/>
        <v>0.198</v>
      </c>
      <c r="R25" s="222">
        <f t="shared" si="2"/>
        <v>2</v>
      </c>
      <c r="S25" s="222">
        <f t="shared" si="3"/>
        <v>10</v>
      </c>
      <c r="T25" s="222">
        <f t="shared" si="4"/>
        <v>20</v>
      </c>
      <c r="U25" s="234">
        <f t="shared" si="5"/>
        <v>4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AMBRIP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148</v>
      </c>
      <c r="AA25" s="226"/>
      <c r="AB25" s="227"/>
      <c r="AC25" s="227"/>
      <c r="BB25" s="8">
        <f t="shared" si="7"/>
        <v>1</v>
      </c>
    </row>
    <row r="26" spans="1:54" ht="12.75">
      <c r="A26" s="228" t="s">
        <v>82</v>
      </c>
      <c r="B26" s="229">
        <v>0.01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fontinaloides</v>
      </c>
      <c r="E26" s="231" t="e">
        <f>IF(D26="",,VLOOKUP(D26,D$22:D25,1,0))</f>
        <v>#N/A</v>
      </c>
      <c r="F26" s="232">
        <f t="shared" si="0"/>
        <v>0.009899999999999999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fontinaloides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1320</v>
      </c>
      <c r="Q26" s="221">
        <f t="shared" si="1"/>
        <v>0.009899999999999999</v>
      </c>
      <c r="R26" s="222">
        <f t="shared" si="2"/>
        <v>1</v>
      </c>
      <c r="S26" s="222">
        <f t="shared" si="3"/>
        <v>12</v>
      </c>
      <c r="T26" s="222">
        <f t="shared" si="4"/>
        <v>24</v>
      </c>
      <c r="U26" s="234">
        <f t="shared" si="5"/>
        <v>2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CINFON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172</v>
      </c>
      <c r="AA26" s="226"/>
      <c r="AB26" s="227"/>
      <c r="AC26" s="227"/>
      <c r="BB26" s="8">
        <f t="shared" si="7"/>
        <v>1</v>
      </c>
    </row>
    <row r="27" spans="1:54" ht="12.75">
      <c r="A27" s="228" t="s">
        <v>16</v>
      </c>
      <c r="B27" s="229">
        <v>0.7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Fontinalis antipyretica</v>
      </c>
      <c r="E27" s="231" t="e">
        <f>IF(D27="",,VLOOKUP(D27,D$22:D26,1,0))</f>
        <v>#N/A</v>
      </c>
      <c r="F27" s="232">
        <f t="shared" si="0"/>
        <v>0.693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10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Fontinalis antipyretica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1310</v>
      </c>
      <c r="Q27" s="221">
        <f t="shared" si="1"/>
        <v>0.693</v>
      </c>
      <c r="R27" s="222">
        <f t="shared" si="2"/>
        <v>2</v>
      </c>
      <c r="S27" s="222">
        <f t="shared" si="3"/>
        <v>20</v>
      </c>
      <c r="T27" s="222">
        <f t="shared" si="4"/>
        <v>20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FONANT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210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0.01</v>
      </c>
      <c r="C28" s="230">
        <v>0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Ceratophyllum demersum</v>
      </c>
      <c r="E28" s="231" t="e">
        <f>IF(D28="",,VLOOKUP(D28,D$22:D27,1,0))</f>
        <v>#N/A</v>
      </c>
      <c r="F28" s="232">
        <f t="shared" si="0"/>
        <v>0.009899999999999999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5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Ceratophyllum demersum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1717</v>
      </c>
      <c r="Q28" s="221">
        <f t="shared" si="1"/>
        <v>0.009899999999999999</v>
      </c>
      <c r="R28" s="222">
        <f t="shared" si="2"/>
        <v>1</v>
      </c>
      <c r="S28" s="222">
        <f t="shared" si="3"/>
        <v>5</v>
      </c>
      <c r="T28" s="222">
        <f t="shared" si="4"/>
        <v>10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CERDEM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330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Elodea nuttalii</v>
      </c>
      <c r="E29" s="231" t="e">
        <f>IF(D29="",,VLOOKUP(D29,D$22:D28,1,0))</f>
        <v>#N/A</v>
      </c>
      <c r="F29" s="232">
        <f t="shared" si="0"/>
        <v>0.009899999999999999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8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Elodea nuttalii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1588</v>
      </c>
      <c r="Q29" s="221">
        <f t="shared" si="1"/>
        <v>0.009899999999999999</v>
      </c>
      <c r="R29" s="222">
        <f t="shared" si="2"/>
        <v>1</v>
      </c>
      <c r="S29" s="222">
        <f t="shared" si="3"/>
        <v>8</v>
      </c>
      <c r="T29" s="222">
        <f t="shared" si="4"/>
        <v>16</v>
      </c>
      <c r="U29" s="234">
        <f t="shared" si="5"/>
        <v>2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ELONUT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343</v>
      </c>
      <c r="AA29" s="226"/>
      <c r="AB29" s="227"/>
      <c r="AC29" s="227"/>
      <c r="BB29" s="8">
        <f t="shared" si="7"/>
        <v>1</v>
      </c>
    </row>
    <row r="30" spans="1:54" ht="12.75">
      <c r="A30" s="228" t="s">
        <v>85</v>
      </c>
      <c r="B30" s="229">
        <v>0.01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Potamogeton pectinatus</v>
      </c>
      <c r="E30" s="231" t="e">
        <f>IF(D30="",,VLOOKUP(D30,D$22:D29,1,0))</f>
        <v>#N/A</v>
      </c>
      <c r="F30" s="232">
        <f t="shared" si="0"/>
        <v>0.009899999999999999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2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Potamogeton pectinatus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1655</v>
      </c>
      <c r="Q30" s="221">
        <f t="shared" si="1"/>
        <v>0.009899999999999999</v>
      </c>
      <c r="R30" s="222">
        <f t="shared" si="2"/>
        <v>1</v>
      </c>
      <c r="S30" s="222">
        <f t="shared" si="3"/>
        <v>2</v>
      </c>
      <c r="T30" s="222">
        <f t="shared" si="4"/>
        <v>4</v>
      </c>
      <c r="U30" s="234">
        <f t="shared" si="5"/>
        <v>2</v>
      </c>
      <c r="V30" s="223">
        <f t="shared" si="6"/>
      </c>
      <c r="W30" s="224" t="s">
        <v>55</v>
      </c>
      <c r="Y30" s="225" t="str">
        <f>IF(A30="new.cod","NEWCOD",IF(AND((Z30=""),ISTEXT(A30)),A30,IF(Z30="","",INDEX('[1]liste reference'!$A$8:$A$904,Z30))))</f>
        <v>POTPEC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421</v>
      </c>
      <c r="AA30" s="226"/>
      <c r="AB30" s="227"/>
      <c r="AC30" s="227"/>
      <c r="BB30" s="8">
        <f t="shared" si="7"/>
        <v>1</v>
      </c>
    </row>
    <row r="31" spans="1:54" ht="12.75">
      <c r="A31" s="228" t="s">
        <v>86</v>
      </c>
      <c r="B31" s="229">
        <v>0.1</v>
      </c>
      <c r="C31" s="230">
        <v>0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Zannichellia palustris</v>
      </c>
      <c r="E31" s="231" t="e">
        <f>IF(D31="",,VLOOKUP(D31,D$22:D30,1,0))</f>
        <v>#N/A</v>
      </c>
      <c r="F31" s="232">
        <f t="shared" si="0"/>
        <v>0.099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5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Zannichellia palustris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1681</v>
      </c>
      <c r="Q31" s="221">
        <f t="shared" si="1"/>
        <v>0.099</v>
      </c>
      <c r="R31" s="222">
        <f t="shared" si="2"/>
        <v>1</v>
      </c>
      <c r="S31" s="222">
        <f t="shared" si="3"/>
        <v>5</v>
      </c>
      <c r="T31" s="222">
        <f t="shared" si="4"/>
        <v>5</v>
      </c>
      <c r="U31" s="234">
        <f t="shared" si="5"/>
        <v>1</v>
      </c>
      <c r="V31" s="223">
        <f t="shared" si="6"/>
      </c>
      <c r="W31" s="224" t="s">
        <v>55</v>
      </c>
      <c r="Y31" s="225" t="str">
        <f>IF(A31="new.cod","NEWCOD",IF(AND((Z31=""),ISTEXT(A31)),A31,IF(Z31="","",INDEX('[1]liste reference'!$A$8:$A$904,Z31))))</f>
        <v>ZANPAL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503</v>
      </c>
      <c r="AA31" s="226"/>
      <c r="AB31" s="227"/>
      <c r="AC31" s="227"/>
      <c r="BB31" s="8">
        <f t="shared" si="7"/>
        <v>1</v>
      </c>
    </row>
    <row r="32" spans="1:54" ht="12.75">
      <c r="A32" s="228" t="s">
        <v>87</v>
      </c>
      <c r="B32" s="229">
        <v>0.01</v>
      </c>
      <c r="C32" s="230">
        <v>0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Glyceria fluitans</v>
      </c>
      <c r="E32" s="231" t="e">
        <f>IF(D32="",,VLOOKUP(D32,D$22:D31,1,0))</f>
        <v>#N/A</v>
      </c>
      <c r="F32" s="232">
        <f t="shared" si="0"/>
        <v>0.009899999999999999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14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Glyceria fluitans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1564</v>
      </c>
      <c r="Q32" s="221">
        <f t="shared" si="1"/>
        <v>0.009899999999999999</v>
      </c>
      <c r="R32" s="222">
        <f t="shared" si="2"/>
        <v>1</v>
      </c>
      <c r="S32" s="222">
        <f t="shared" si="3"/>
        <v>14</v>
      </c>
      <c r="T32" s="222">
        <f t="shared" si="4"/>
        <v>28</v>
      </c>
      <c r="U32" s="234">
        <f t="shared" si="5"/>
        <v>2</v>
      </c>
      <c r="V32" s="223">
        <f t="shared" si="6"/>
      </c>
      <c r="W32" s="224" t="s">
        <v>55</v>
      </c>
      <c r="Y32" s="225" t="str">
        <f>IF(A32="new.cod","NEWCOD",IF(AND((Z32=""),ISTEXT(A32)),A32,IF(Z32="","",INDEX('[1]liste reference'!$A$8:$A$904,Z32))))</f>
        <v>GLYFLU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575</v>
      </c>
      <c r="AA32" s="226"/>
      <c r="AB32" s="227"/>
      <c r="AC32" s="227"/>
      <c r="BB32" s="8">
        <f t="shared" si="7"/>
        <v>1</v>
      </c>
    </row>
    <row r="33" spans="1:54" ht="12.75">
      <c r="A33" s="228" t="s">
        <v>88</v>
      </c>
      <c r="B33" s="229">
        <v>0.01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Phalaris arundinacea</v>
      </c>
      <c r="E33" s="231" t="e">
        <f>IF(D33="",,VLOOKUP(D33,D$22:D32,1,0))</f>
        <v>#N/A</v>
      </c>
      <c r="F33" s="232">
        <f t="shared" si="0"/>
        <v>0.009899999999999999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Phalaris arundinacea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1577</v>
      </c>
      <c r="Q33" s="221">
        <f t="shared" si="1"/>
        <v>0.009899999999999999</v>
      </c>
      <c r="R33" s="222">
        <f t="shared" si="2"/>
        <v>1</v>
      </c>
      <c r="S33" s="222">
        <f t="shared" si="3"/>
        <v>10</v>
      </c>
      <c r="T33" s="222">
        <f t="shared" si="4"/>
        <v>10</v>
      </c>
      <c r="U33" s="234">
        <f t="shared" si="5"/>
        <v>1</v>
      </c>
      <c r="V33" s="223">
        <f t="shared" si="6"/>
      </c>
      <c r="W33" s="224" t="s">
        <v>55</v>
      </c>
      <c r="Y33" s="225" t="str">
        <f>IF(A33="new.cod","NEWCOD",IF(AND((Z33=""),ISTEXT(A33)),A33,IF(Z33="","",INDEX('[1]liste reference'!$A$8:$A$904,Z33))))</f>
        <v>PHAARU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634</v>
      </c>
      <c r="AA33" s="226"/>
      <c r="AB33" s="227"/>
      <c r="AC33" s="227"/>
      <c r="BB33" s="8">
        <f t="shared" si="7"/>
        <v>1</v>
      </c>
    </row>
    <row r="34" spans="1:54" ht="12.75">
      <c r="A34" s="228" t="s">
        <v>89</v>
      </c>
      <c r="B34" s="229">
        <v>0</v>
      </c>
      <c r="C34" s="230">
        <v>0.01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Veronica anagallis-aquatica</v>
      </c>
      <c r="E34" s="231" t="e">
        <f>IF(D34="",,VLOOKUP(D34,D$22:D33,1,0))</f>
        <v>#N/A</v>
      </c>
      <c r="F34" s="236">
        <f t="shared" si="0"/>
        <v>0.0001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11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2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Veronica anagallis-aquatica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1955</v>
      </c>
      <c r="Q34" s="221">
        <f t="shared" si="1"/>
        <v>0.0001</v>
      </c>
      <c r="R34" s="222">
        <f t="shared" si="2"/>
        <v>1</v>
      </c>
      <c r="S34" s="222">
        <f t="shared" si="3"/>
        <v>11</v>
      </c>
      <c r="T34" s="222">
        <f t="shared" si="4"/>
        <v>22</v>
      </c>
      <c r="U34" s="234">
        <f t="shared" si="5"/>
        <v>2</v>
      </c>
      <c r="V34" s="223">
        <f t="shared" si="6"/>
      </c>
      <c r="W34" s="224" t="s">
        <v>55</v>
      </c>
      <c r="Y34" s="225" t="str">
        <f>IF(A34="new.cod","NEWCOD",IF(AND((Z34=""),ISTEXT(A34)),A34,IF(Z34="","",INDEX('[1]liste reference'!$A$8:$A$904,Z34))))</f>
        <v>VERANA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682</v>
      </c>
      <c r="AA34" s="226"/>
      <c r="AB34" s="227"/>
      <c r="AC34" s="227"/>
      <c r="BB34" s="8">
        <f t="shared" si="7"/>
        <v>1</v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90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Bourbre</v>
      </c>
      <c r="B84" s="265" t="str">
        <f>C3</f>
        <v>Bourbre à Tigneu Jameyzieux</v>
      </c>
      <c r="C84" s="266">
        <f>A4</f>
        <v>41808</v>
      </c>
      <c r="D84" s="267">
        <f>IF(ISERROR(SUM($T$23:$T$82)/SUM($U$23:$U$82)),"",SUM($T$23:$T$82)/SUM($U$23:$U$82))</f>
        <v>7.458333333333333</v>
      </c>
      <c r="E84" s="268">
        <f>N13</f>
        <v>12</v>
      </c>
      <c r="F84" s="265">
        <f>N14</f>
        <v>12</v>
      </c>
      <c r="G84" s="265">
        <f>N15</f>
        <v>5</v>
      </c>
      <c r="H84" s="265">
        <f>N16</f>
        <v>7</v>
      </c>
      <c r="I84" s="265">
        <f>N17</f>
        <v>0</v>
      </c>
      <c r="J84" s="269">
        <f>N8</f>
        <v>7.666666666666667</v>
      </c>
      <c r="K84" s="267">
        <f>N9</f>
        <v>3.5433819375782165</v>
      </c>
      <c r="L84" s="268">
        <f>N10</f>
        <v>2</v>
      </c>
      <c r="M84" s="268">
        <f>N11</f>
        <v>14</v>
      </c>
      <c r="N84" s="267">
        <f>O8</f>
        <v>1.5833333333333333</v>
      </c>
      <c r="O84" s="267">
        <f>O9</f>
        <v>0.4930066485916347</v>
      </c>
      <c r="P84" s="268">
        <f>O10</f>
        <v>1</v>
      </c>
      <c r="Q84" s="268">
        <f>O11</f>
        <v>2</v>
      </c>
      <c r="R84" s="268">
        <f>F21</f>
        <v>2.0395</v>
      </c>
      <c r="S84" s="268">
        <f>K11</f>
        <v>0</v>
      </c>
      <c r="T84" s="268">
        <f>K12</f>
        <v>2</v>
      </c>
      <c r="U84" s="268">
        <f>K13</f>
        <v>3</v>
      </c>
      <c r="V84" s="270">
        <f>K14</f>
        <v>0</v>
      </c>
      <c r="W84" s="271">
        <f>K15</f>
        <v>7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91</v>
      </c>
      <c r="R86" s="8"/>
      <c r="S86" s="223"/>
      <c r="T86" s="8"/>
      <c r="U86" s="8"/>
      <c r="V86" s="8"/>
    </row>
    <row r="87" spans="16:22" ht="12.75" hidden="1">
      <c r="P87" s="8"/>
      <c r="Q87" s="8" t="s">
        <v>92</v>
      </c>
      <c r="R87" s="8"/>
      <c r="S87" s="223">
        <f>VLOOKUP(MAX($S$23:$S$82),($S$23:$U$82),1,0)</f>
        <v>20</v>
      </c>
      <c r="T87" s="8"/>
      <c r="U87" s="8"/>
      <c r="V87" s="8"/>
    </row>
    <row r="88" spans="16:22" ht="12.75" hidden="1">
      <c r="P88" s="8"/>
      <c r="Q88" s="8" t="s">
        <v>93</v>
      </c>
      <c r="R88" s="8"/>
      <c r="S88" s="223">
        <f>VLOOKUP((S87),($S$23:$U$82),2,0)</f>
        <v>20</v>
      </c>
      <c r="T88" s="8"/>
      <c r="U88" s="8"/>
      <c r="V88" s="8"/>
    </row>
    <row r="89" spans="17:20" ht="12.75" hidden="1">
      <c r="Q89" s="8" t="s">
        <v>94</v>
      </c>
      <c r="R89" s="8"/>
      <c r="S89" s="223">
        <f>VLOOKUP((S87),($S$23:$U$82),3,0)</f>
        <v>2</v>
      </c>
      <c r="T89" s="8"/>
    </row>
    <row r="90" spans="17:20" ht="12.75">
      <c r="Q90" s="8" t="s">
        <v>95</v>
      </c>
      <c r="R90" s="8"/>
      <c r="S90" s="274">
        <f>IF(ISERROR(SUM($T$23:$T$82)/SUM($U$23:$U$82)),"",(SUM($T$23:$T$82)-S88)/(SUM($U$23:$U$82)-S89))</f>
        <v>7.2272727272727275</v>
      </c>
      <c r="T90" s="8"/>
    </row>
    <row r="91" spans="17:21" ht="12.75">
      <c r="Q91" s="222" t="s">
        <v>96</v>
      </c>
      <c r="R91" s="222"/>
      <c r="S91" s="222" t="str">
        <f>INDEX('[1]liste reference'!$A$8:$A$904,$T$91)</f>
        <v>FONANT</v>
      </c>
      <c r="T91" s="8">
        <f>IF(ISERROR(MATCH($S$93,'[1]liste reference'!$A$8:$A$904,0)),MATCH($S$93,'[1]liste reference'!$B$8:$B$904,0),(MATCH($S$93,'[1]liste reference'!$A$8:$A$904,0)))</f>
        <v>210</v>
      </c>
      <c r="U91" s="263"/>
    </row>
    <row r="92" spans="17:20" ht="12.75">
      <c r="Q92" s="8" t="s">
        <v>97</v>
      </c>
      <c r="R92" s="8"/>
      <c r="S92" s="8">
        <f>MATCH(S87,$S$23:$S$82,0)</f>
        <v>5</v>
      </c>
      <c r="T92" s="8"/>
    </row>
    <row r="93" spans="17:20" ht="12.75">
      <c r="Q93" s="222" t="s">
        <v>98</v>
      </c>
      <c r="R93" s="8"/>
      <c r="S93" s="222" t="str">
        <f>INDEX($A$23:$A$82,$S$92)</f>
        <v>FONANT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2014-12-19T14:07:11Z</dcterms:created>
  <dcterms:modified xsi:type="dcterms:W3CDTF">2014-12-19T14:07:14Z</dcterms:modified>
  <cp:category/>
  <cp:version/>
  <cp:contentType/>
  <cp:contentStatus/>
</cp:coreProperties>
</file>