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<sst xmlns="http://schemas.openxmlformats.org/spreadsheetml/2006/main" count="220" uniqueCount="103">
  <si>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</si>
  <si>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</si>
  <si>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</si>
  <si>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</si>
  <si>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</si>
  <si>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Albarine</t>
  </si>
  <si>
    <t>ALBARINE A ARGIS</t>
  </si>
  <si>
    <t>06090600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</si>
  <si>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</si>
  <si>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</si>
  <si>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</si>
  <si>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</si>
  <si>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</si>
  <si>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</si>
  <si>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</si>
  <si>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</si>
  <si>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</si>
  <si>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</si>
  <si>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</si>
  <si>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</si>
  <si>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</si>
  <si>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</si>
  <si>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</si>
  <si>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</si>
  <si>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</si>
  <si>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</si>
  <si>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</si>
  <si>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</si>
  <si>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</si>
  <si>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</si>
  <si>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</si>
  <si>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</si>
  <si>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</si>
  <si>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</si>
  <si>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</si>
  <si>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</si>
  <si>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</si>
  <si>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</si>
  <si>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</si>
  <si>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</si>
  <si>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</si>
  <si>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</si>
  <si>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</si>
  <si>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</si>
  <si>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</si>
  <si>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</si>
  <si>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</si>
  <si>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</si>
  <si>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</si>
  <si>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</si>
  <si>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</si>
  <si>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</si>
  <si>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</si>
  <si>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</si>
  <si>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</si>
  <si>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</si>
  <si>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</si>
  <si>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</si>
  <si>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</si>
  <si>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</si>
  <si>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</si>
  <si>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</si>
  <si>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</si>
  <si>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</si>
  <si>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</si>
  <si>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</si>
  <si>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</si>
  <si>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</si>
  <si>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</si>
  <si>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</si>
  <si>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</si>
  <si>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</si>
  <si>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</si>
  <si>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</si>
  <si>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</si>
  <si>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</si>
  <si>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</si>
  <si>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</si>
  <si>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</si>
  <si>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</si>
  <si>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LEASPX</t>
  </si>
  <si>
    <t>NOSSPX</t>
  </si>
  <si>
    <t>PHOSPX</t>
  </si>
  <si>
    <t>TETSPX</t>
  </si>
  <si>
    <t>VAUSPX</t>
  </si>
  <si>
    <t>RICCHA</t>
  </si>
  <si>
    <t>AMBRIP</t>
  </si>
  <si>
    <t>CINAQU</t>
  </si>
  <si>
    <t>FONANT</t>
  </si>
  <si>
    <t>RHYRIP</t>
  </si>
  <si>
    <t>FISCRA</t>
  </si>
  <si>
    <t>REYJAP</t>
  </si>
  <si>
    <t>newcod</t>
  </si>
  <si>
    <t>Salix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</si>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</sst>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39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0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7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8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7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7" fillId="38" borderId="76" xfId="0" applyFont="1" applyFill="1" applyBorder="1" applyAlignment="1" applyProtection="1">
      <alignment horizontal="right"/>
      <protection hidden="1"/>
    </xf>
    <xf numFmtId="0" fontId="27" fillId="38" borderId="76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ALBARG_08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31" sqref="W3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10.911764705882353</v>
      </c>
      <c r="M5" s="52"/>
      <c r="N5" s="53" t="s">
        <v>16</v>
      </c>
      <c r="O5" s="54">
        <v>10.464285714285714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92</v>
      </c>
      <c r="C7" s="65">
        <v>8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10.846153846153847</v>
      </c>
      <c r="O8" s="81">
        <f>IF(ISERROR(AVERAGE(J23:J82)),"      -",AVERAGE(J23:J82))</f>
        <v>1.5384615384615385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7.33</v>
      </c>
      <c r="C9" s="84">
        <v>16.25</v>
      </c>
      <c r="D9" s="85"/>
      <c r="E9" s="85"/>
      <c r="F9" s="86">
        <f aca="true" t="shared" si="0" ref="F9:F15">($B9*$B$7+$C9*$C$7)/100</f>
        <v>8.0436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3.655262883235914</v>
      </c>
      <c r="O9" s="81">
        <f>IF(ISERROR(STDEVP(J23:J82)),"      -",STDEVP(J23:J82))</f>
        <v>0.4985185152621431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15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2.01</v>
      </c>
      <c r="C12" s="115">
        <v>7.02</v>
      </c>
      <c r="D12" s="108"/>
      <c r="E12" s="108"/>
      <c r="F12" s="109">
        <f t="shared" si="0"/>
        <v>2.4108</v>
      </c>
      <c r="G12" s="116"/>
      <c r="H12" s="66"/>
      <c r="I12" s="274" t="s">
        <v>39</v>
      </c>
      <c r="J12" s="265"/>
      <c r="K12" s="111">
        <f>COUNTIF($G$23:$G$82,"=ALG")</f>
        <v>6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5.32</v>
      </c>
      <c r="C13" s="115">
        <v>9.21</v>
      </c>
      <c r="D13" s="108"/>
      <c r="E13" s="108"/>
      <c r="F13" s="109">
        <f t="shared" si="0"/>
        <v>5.6312000000000015</v>
      </c>
      <c r="G13" s="116"/>
      <c r="H13" s="66"/>
      <c r="I13" s="264" t="s">
        <v>41</v>
      </c>
      <c r="J13" s="265"/>
      <c r="K13" s="111">
        <f>COUNTIF($G$23:$G$82,"=BRm")+COUNTIF($G$23:$G$82,"=BRh")</f>
        <v>7</v>
      </c>
      <c r="L13" s="112"/>
      <c r="M13" s="122" t="s">
        <v>42</v>
      </c>
      <c r="N13" s="123">
        <f>COUNTIF(F23:F82,"&gt;0")</f>
        <v>15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13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>
        <v>0.02</v>
      </c>
      <c r="D15" s="108"/>
      <c r="E15" s="108"/>
      <c r="F15" s="109">
        <f t="shared" si="0"/>
        <v>0.0016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1</v>
      </c>
      <c r="L15" s="112"/>
      <c r="M15" s="132" t="s">
        <v>48</v>
      </c>
      <c r="N15" s="133">
        <f>COUNTIF(J23:J82,"=1")</f>
        <v>6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7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7.33</v>
      </c>
      <c r="C17" s="115">
        <v>16.23</v>
      </c>
      <c r="D17" s="108"/>
      <c r="E17" s="108"/>
      <c r="F17" s="139"/>
      <c r="G17" s="109">
        <f>($B17*$B$7+$C17*$C$7)/100</f>
        <v>8.042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>
        <v>0.02</v>
      </c>
      <c r="D18" s="108"/>
      <c r="E18" s="144" t="s">
        <v>54</v>
      </c>
      <c r="F18" s="139"/>
      <c r="G18" s="109">
        <f>($B18*$B$7+$C18*$C$7)/100</f>
        <v>0.0016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8.043600000000001</v>
      </c>
      <c r="G19" s="153">
        <f>SUM(G16:G18)</f>
        <v>8.0436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7.33</v>
      </c>
      <c r="C20" s="163">
        <f>SUM(C23:C82)</f>
        <v>16.250000000000004</v>
      </c>
      <c r="D20" s="164"/>
      <c r="E20" s="165" t="s">
        <v>54</v>
      </c>
      <c r="F20" s="166">
        <f>($B20*$B$7+$C20*$C$7)/100</f>
        <v>8.0436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6.7436</v>
      </c>
      <c r="C21" s="176">
        <f>C20*C7/100</f>
        <v>1.3000000000000003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8.0436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1</v>
      </c>
      <c r="C23" s="202">
        <v>4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82">($B23*$B$7+$C23*$C$7)/100</f>
        <v>1.24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82">IF(ISTEXT(H23),"",(B23*$B$7/100)+(C23*$C$7/100))</f>
        <v>1.24</v>
      </c>
      <c r="R23" s="212">
        <f aca="true" t="shared" si="3" ref="R23:R82">IF(OR(ISTEXT(H23),Q23=0),"",IF(Q23&lt;0.1,1,IF(Q23&lt;1,2,IF(Q23&lt;10,3,IF(Q23&lt;50,4,IF(Q23&gt;=50,5,""))))))</f>
        <v>3</v>
      </c>
      <c r="S23" s="212">
        <f aca="true" t="shared" si="4" ref="S23:S82">IF(ISERROR(R23*I23),0,R23*I23)</f>
        <v>18</v>
      </c>
      <c r="T23" s="212">
        <f aca="true" t="shared" si="5" ref="T23:T82">IF(ISERROR(R23*I23*J23),0,R23*I23*J23)</f>
        <v>18</v>
      </c>
      <c r="U23" s="212">
        <f aca="true" t="shared" si="6" ref="U23:U82">IF(ISERROR(R23*J23),0,R23*J23)</f>
        <v>3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80</v>
      </c>
      <c r="B24" s="219">
        <v>0.1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21" t="e">
        <f>IF(D24="",,VLOOKUP(D24,D$22:D23,1,0))</f>
        <v>#N/A</v>
      </c>
      <c r="F24" s="222">
        <f t="shared" si="1"/>
        <v>0.09200000000000001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11">
        <f t="shared" si="2"/>
        <v>0.09200000000000001</v>
      </c>
      <c r="R24" s="212">
        <f t="shared" si="3"/>
        <v>1</v>
      </c>
      <c r="S24" s="212">
        <f t="shared" si="4"/>
        <v>15</v>
      </c>
      <c r="T24" s="212">
        <f t="shared" si="5"/>
        <v>30</v>
      </c>
      <c r="U24" s="224">
        <f t="shared" si="6"/>
        <v>2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81</v>
      </c>
      <c r="B25" s="219">
        <v>0.1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Nostoc sp.</v>
      </c>
      <c r="E25" s="221" t="e">
        <f>IF(D25="",,VLOOKUP(D25,D$22:D24,1,0))</f>
        <v>#N/A</v>
      </c>
      <c r="F25" s="222">
        <f t="shared" si="1"/>
        <v>0.09200000000000001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9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Nostoc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1105</v>
      </c>
      <c r="Q25" s="211">
        <f t="shared" si="2"/>
        <v>0.09200000000000001</v>
      </c>
      <c r="R25" s="212">
        <f t="shared" si="3"/>
        <v>1</v>
      </c>
      <c r="S25" s="212">
        <f t="shared" si="4"/>
        <v>9</v>
      </c>
      <c r="T25" s="212">
        <f t="shared" si="5"/>
        <v>9</v>
      </c>
      <c r="U25" s="224">
        <f t="shared" si="6"/>
        <v>1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NOSSPX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54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82</v>
      </c>
      <c r="B26" s="219">
        <v>0.01</v>
      </c>
      <c r="C26" s="220">
        <v>0.01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21" t="e">
        <f>IF(D26="",,VLOOKUP(D26,D$22:D25,1,0))</f>
        <v>#N/A</v>
      </c>
      <c r="F26" s="222">
        <f t="shared" si="1"/>
        <v>0.01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2"/>
        <v>0.01</v>
      </c>
      <c r="R26" s="212">
        <f t="shared" si="3"/>
        <v>1</v>
      </c>
      <c r="S26" s="212">
        <f t="shared" si="4"/>
        <v>13</v>
      </c>
      <c r="T26" s="212">
        <f t="shared" si="5"/>
        <v>26</v>
      </c>
      <c r="U26" s="224">
        <f t="shared" si="6"/>
        <v>2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83</v>
      </c>
      <c r="B27" s="219">
        <v>0</v>
      </c>
      <c r="C27" s="220">
        <v>0.01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Tetraspora sp.</v>
      </c>
      <c r="E27" s="221" t="e">
        <f>IF(D27="",,VLOOKUP(D27,D$22:D26,1,0))</f>
        <v>#N/A</v>
      </c>
      <c r="F27" s="222">
        <f t="shared" si="1"/>
        <v>0.0008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Tetraspora sp.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1138</v>
      </c>
      <c r="Q27" s="211">
        <f t="shared" si="2"/>
        <v>0.0008</v>
      </c>
      <c r="R27" s="212">
        <f t="shared" si="3"/>
        <v>1</v>
      </c>
      <c r="S27" s="212">
        <f t="shared" si="4"/>
        <v>12</v>
      </c>
      <c r="T27" s="212">
        <f t="shared" si="5"/>
        <v>12</v>
      </c>
      <c r="U27" s="224">
        <f t="shared" si="6"/>
        <v>1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TETSPX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73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84</v>
      </c>
      <c r="B28" s="219">
        <v>0.8</v>
      </c>
      <c r="C28" s="220">
        <v>3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Vaucheria sp.</v>
      </c>
      <c r="E28" s="221" t="e">
        <f>IF(D28="",,VLOOKUP(D28,D$22:D27,1,0))</f>
        <v>#N/A</v>
      </c>
      <c r="F28" s="222">
        <f t="shared" si="1"/>
        <v>0.9760000000000001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4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Vaucheria sp.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6193</v>
      </c>
      <c r="Q28" s="211">
        <f t="shared" si="2"/>
        <v>0.9760000000000001</v>
      </c>
      <c r="R28" s="212">
        <f t="shared" si="3"/>
        <v>2</v>
      </c>
      <c r="S28" s="212">
        <f t="shared" si="4"/>
        <v>8</v>
      </c>
      <c r="T28" s="212">
        <f t="shared" si="5"/>
        <v>8</v>
      </c>
      <c r="U28" s="224">
        <f t="shared" si="6"/>
        <v>2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VAUSPX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82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85</v>
      </c>
      <c r="B29" s="219">
        <v>0.01</v>
      </c>
      <c r="C29" s="220">
        <v>0.1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Riccardia chamedryfolia</v>
      </c>
      <c r="E29" s="221" t="e">
        <f>IF(D29="",,VLOOKUP(D29,D$22:D28,1,0))</f>
        <v>#N/A</v>
      </c>
      <c r="F29" s="222">
        <f t="shared" si="1"/>
        <v>0.017200000000000003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BRh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4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15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Riccardia chamedryfolia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1173</v>
      </c>
      <c r="Q29" s="211">
        <f t="shared" si="2"/>
        <v>0.0172</v>
      </c>
      <c r="R29" s="212">
        <f t="shared" si="3"/>
        <v>1</v>
      </c>
      <c r="S29" s="212">
        <f t="shared" si="4"/>
        <v>15</v>
      </c>
      <c r="T29" s="212">
        <f t="shared" si="5"/>
        <v>30</v>
      </c>
      <c r="U29" s="224">
        <f t="shared" si="6"/>
        <v>2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RICCHA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130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86</v>
      </c>
      <c r="B30" s="219">
        <v>0.1</v>
      </c>
      <c r="C30" s="220">
        <v>0.1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Amblystegium riparium</v>
      </c>
      <c r="E30" s="221" t="e">
        <f>IF(D30="",,VLOOKUP(D30,D$22:D29,1,0))</f>
        <v>#N/A</v>
      </c>
      <c r="F30" s="222">
        <f t="shared" si="1"/>
        <v>0.10000000000000002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5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Amblystegium riparium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1219</v>
      </c>
      <c r="Q30" s="211">
        <f t="shared" si="2"/>
        <v>0.1</v>
      </c>
      <c r="R30" s="212">
        <f t="shared" si="3"/>
        <v>2</v>
      </c>
      <c r="S30" s="212">
        <f t="shared" si="4"/>
        <v>10</v>
      </c>
      <c r="T30" s="212">
        <f t="shared" si="5"/>
        <v>20</v>
      </c>
      <c r="U30" s="224">
        <f t="shared" si="6"/>
        <v>4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AMBRIP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148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87</v>
      </c>
      <c r="B31" s="219">
        <v>0.5</v>
      </c>
      <c r="C31" s="220">
        <v>0.5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Cinclidotus aquaticus</v>
      </c>
      <c r="E31" s="221" t="e">
        <f>IF(D31="",,VLOOKUP(D31,D$22:D30,1,0))</f>
        <v>#N/A</v>
      </c>
      <c r="F31" s="222">
        <f t="shared" si="1"/>
        <v>0.5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15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Cinclidotus aquaticus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1318</v>
      </c>
      <c r="Q31" s="211">
        <f t="shared" si="2"/>
        <v>0.5</v>
      </c>
      <c r="R31" s="212">
        <f t="shared" si="3"/>
        <v>2</v>
      </c>
      <c r="S31" s="212">
        <f t="shared" si="4"/>
        <v>30</v>
      </c>
      <c r="T31" s="212">
        <f t="shared" si="5"/>
        <v>60</v>
      </c>
      <c r="U31" s="224">
        <f t="shared" si="6"/>
        <v>4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CINAQU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170</v>
      </c>
      <c r="AA31" s="216"/>
      <c r="AB31" s="217"/>
      <c r="AC31" s="217"/>
      <c r="BB31" s="8">
        <f t="shared" si="8"/>
        <v>1</v>
      </c>
    </row>
    <row r="32" spans="1:54" ht="12.75">
      <c r="A32" s="218" t="s">
        <v>16</v>
      </c>
      <c r="B32" s="219">
        <v>3.1</v>
      </c>
      <c r="C32" s="220">
        <v>1.5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Cinclidotus riparius</v>
      </c>
      <c r="E32" s="221" t="e">
        <f>IF(D32="",,VLOOKUP(D32,D$22:D31,1,0))</f>
        <v>#N/A</v>
      </c>
      <c r="F32" s="222">
        <f t="shared" si="1"/>
        <v>2.972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13</v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Cinclidotus riparius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1321</v>
      </c>
      <c r="Q32" s="211">
        <f t="shared" si="2"/>
        <v>2.972</v>
      </c>
      <c r="R32" s="212">
        <f t="shared" si="3"/>
        <v>3</v>
      </c>
      <c r="S32" s="212">
        <f t="shared" si="4"/>
        <v>39</v>
      </c>
      <c r="T32" s="212">
        <f t="shared" si="5"/>
        <v>78</v>
      </c>
      <c r="U32" s="224">
        <f t="shared" si="6"/>
        <v>6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CINRIP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174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88</v>
      </c>
      <c r="B33" s="219">
        <v>0.1</v>
      </c>
      <c r="C33" s="220">
        <v>5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Fontinalis antipyretica</v>
      </c>
      <c r="E33" s="221" t="e">
        <f>IF(D33="",,VLOOKUP(D33,D$22:D32,1,0))</f>
        <v>#N/A</v>
      </c>
      <c r="F33" s="222">
        <f t="shared" si="1"/>
        <v>0.49200000000000005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Fontinalis antipyretica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1310</v>
      </c>
      <c r="Q33" s="211">
        <f t="shared" si="2"/>
        <v>0.49200000000000005</v>
      </c>
      <c r="R33" s="212">
        <f t="shared" si="3"/>
        <v>2</v>
      </c>
      <c r="S33" s="212">
        <f t="shared" si="4"/>
        <v>20</v>
      </c>
      <c r="T33" s="212">
        <f t="shared" si="5"/>
        <v>20</v>
      </c>
      <c r="U33" s="224">
        <f t="shared" si="6"/>
        <v>2</v>
      </c>
      <c r="V33" s="213">
        <f t="shared" si="7"/>
      </c>
      <c r="W33" s="214" t="s">
        <v>55</v>
      </c>
      <c r="Y33" s="215" t="str">
        <f>IF(A33="new.cod","NEWCOD",IF(AND((Z33=""),ISTEXT(A33)),A33,IF(Z33="","",INDEX('[1]liste reference'!$A$8:$A$904,Z33))))</f>
        <v>FONANT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210</v>
      </c>
      <c r="AA33" s="216"/>
      <c r="AB33" s="217"/>
      <c r="AC33" s="217"/>
      <c r="BB33" s="8">
        <f t="shared" si="8"/>
        <v>1</v>
      </c>
    </row>
    <row r="34" spans="1:54" ht="12.75">
      <c r="A34" s="218" t="s">
        <v>89</v>
      </c>
      <c r="B34" s="219">
        <v>1.5</v>
      </c>
      <c r="C34" s="220">
        <v>2</v>
      </c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>Rhynchostegium riparioides</v>
      </c>
      <c r="E34" s="221" t="e">
        <f>IF(D34="",,VLOOKUP(D34,D$22:D33,1,0))</f>
        <v>#N/A</v>
      </c>
      <c r="F34" s="226">
        <f t="shared" si="1"/>
        <v>1.54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0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12</v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Rhynchostegium riparioides</v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1268</v>
      </c>
      <c r="Q34" s="211">
        <f t="shared" si="2"/>
        <v>1.5399999999999998</v>
      </c>
      <c r="R34" s="212">
        <f t="shared" si="3"/>
        <v>3</v>
      </c>
      <c r="S34" s="212">
        <f t="shared" si="4"/>
        <v>36</v>
      </c>
      <c r="T34" s="212">
        <f t="shared" si="5"/>
        <v>36</v>
      </c>
      <c r="U34" s="224">
        <f t="shared" si="6"/>
        <v>3</v>
      </c>
      <c r="V34" s="213">
        <f t="shared" si="7"/>
      </c>
      <c r="W34" s="214" t="s">
        <v>55</v>
      </c>
      <c r="Y34" s="215" t="str">
        <f>IF(A34="new.cod","NEWCOD",IF(AND((Z34=""),ISTEXT(A34)),A34,IF(Z34="","",INDEX('[1]liste reference'!$A$8:$A$904,Z34))))</f>
        <v>RHYRIP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252</v>
      </c>
      <c r="AA34" s="216"/>
      <c r="AB34" s="217"/>
      <c r="AC34" s="217"/>
      <c r="BB34" s="8">
        <f t="shared" si="8"/>
        <v>1</v>
      </c>
    </row>
    <row r="35" spans="1:54" ht="12.75">
      <c r="A35" s="218" t="s">
        <v>90</v>
      </c>
      <c r="B35" s="219">
        <v>0.01</v>
      </c>
      <c r="C35" s="220">
        <v>0.01</v>
      </c>
      <c r="D35" s="203" t="str">
        <f>IF(ISERROR(VLOOKUP($A35,'[1]liste reference'!$A$7:$D$904,2,0)),IF(ISERROR(VLOOKUP($A35,'[1]liste reference'!$B$7:$D$904,1,0)),"",VLOOKUP($A35,'[1]liste reference'!$B$7:$D$904,1,0)),VLOOKUP($A35,'[1]liste reference'!$A$7:$D$904,2,0))</f>
        <v>Fissidens crassipes</v>
      </c>
      <c r="E35" s="221" t="e">
        <f>IF(D35="",,VLOOKUP(D35,D$22:D34,1,0))</f>
        <v>#N/A</v>
      </c>
      <c r="F35" s="226">
        <f t="shared" si="1"/>
        <v>0.01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0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12</v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Fissidens crassipes</v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1294</v>
      </c>
      <c r="Q35" s="211">
        <f t="shared" si="2"/>
        <v>0.01</v>
      </c>
      <c r="R35" s="212">
        <f t="shared" si="3"/>
        <v>1</v>
      </c>
      <c r="S35" s="212">
        <f t="shared" si="4"/>
        <v>12</v>
      </c>
      <c r="T35" s="212">
        <f t="shared" si="5"/>
        <v>24</v>
      </c>
      <c r="U35" s="224">
        <f t="shared" si="6"/>
        <v>2</v>
      </c>
      <c r="V35" s="213">
        <f t="shared" si="7"/>
      </c>
      <c r="W35" s="214" t="s">
        <v>55</v>
      </c>
      <c r="Y35" s="215" t="str">
        <f>IF(A35="new.cod","NEWCOD",IF(AND((Z35=""),ISTEXT(A35)),A35,IF(Z35="","",INDEX('[1]liste reference'!$A$8:$A$904,Z35))))</f>
        <v>FISCRA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197</v>
      </c>
      <c r="AA35" s="216"/>
      <c r="AB35" s="217"/>
      <c r="AC35" s="217"/>
      <c r="BB35" s="8">
        <f t="shared" si="8"/>
        <v>1</v>
      </c>
    </row>
    <row r="36" spans="1:54" ht="12.75">
      <c r="A36" s="218" t="s">
        <v>91</v>
      </c>
      <c r="B36" s="219">
        <v>0</v>
      </c>
      <c r="C36" s="220">
        <v>0.01</v>
      </c>
      <c r="D36" s="203" t="str">
        <f>IF(ISERROR(VLOOKUP($A36,'[1]liste reference'!$A$7:$D$904,2,0)),IF(ISERROR(VLOOKUP($A36,'[1]liste reference'!$B$7:$D$904,1,0)),"",VLOOKUP($A36,'[1]liste reference'!$B$7:$D$904,1,0)),VLOOKUP($A36,'[1]liste reference'!$A$7:$D$904,2,0))</f>
        <v>Reynoutria japonica</v>
      </c>
      <c r="E36" s="221" t="e">
        <f>IF(D36="",,VLOOKUP(D36,D$22:D35,1,0))</f>
        <v>#N/A</v>
      </c>
      <c r="F36" s="226">
        <f t="shared" si="1"/>
        <v>0.0008</v>
      </c>
      <c r="G36" s="20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0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Reynoutria japonica</v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19988</v>
      </c>
      <c r="Q36" s="211">
        <f t="shared" si="2"/>
        <v>0.0008</v>
      </c>
      <c r="R36" s="212">
        <f t="shared" si="3"/>
        <v>1</v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 t="str">
        <f>IF(A36="new.cod","NEWCOD",IF(AND((Z36=""),ISTEXT(A36)),A36,IF(Z36="","",INDEX('[1]liste reference'!$A$8:$A$904,Z36))))</f>
        <v>REYJAP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644</v>
      </c>
      <c r="AA36" s="216"/>
      <c r="AB36" s="217"/>
      <c r="AC36" s="217"/>
      <c r="BB36" s="8">
        <f t="shared" si="8"/>
        <v>1</v>
      </c>
    </row>
    <row r="37" spans="1:54" ht="12.75">
      <c r="A37" s="218" t="s">
        <v>92</v>
      </c>
      <c r="B37" s="219">
        <v>0</v>
      </c>
      <c r="C37" s="220">
        <v>0.01</v>
      </c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0.0008</v>
      </c>
      <c r="G37" s="20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    -</v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Salix sp.</v>
      </c>
      <c r="L37" s="223"/>
      <c r="M37" s="223"/>
      <c r="N37" s="223"/>
      <c r="O37" s="210"/>
      <c r="P37" s="210" t="str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No</v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 t="str">
        <f>IF(A37="new.cod","NEWCOD",IF(AND((Z37=""),ISTEXT(A37)),A37,IF(Z37="","",INDEX('[1]liste reference'!$A$8:$A$904,Z37))))</f>
        <v>newcod</v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 t="s">
        <v>93</v>
      </c>
      <c r="AC37" s="217"/>
      <c r="BB37" s="8">
        <f t="shared" si="8"/>
        <v>1</v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94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Albarine</v>
      </c>
      <c r="B84" s="254" t="str">
        <f>C3</f>
        <v>ALBARINE A ARGIS</v>
      </c>
      <c r="C84" s="255">
        <f>A4</f>
        <v>41463</v>
      </c>
      <c r="D84" s="256">
        <f>IF(ISERROR(SUM($T$23:$T$82)/SUM($U$23:$U$82)),"",SUM($T$23:$T$82)/SUM($U$23:$U$82))</f>
        <v>10.911764705882353</v>
      </c>
      <c r="E84" s="257">
        <f>N13</f>
        <v>15</v>
      </c>
      <c r="F84" s="254">
        <f>N14</f>
        <v>13</v>
      </c>
      <c r="G84" s="254">
        <f>N15</f>
        <v>6</v>
      </c>
      <c r="H84" s="254">
        <f>N16</f>
        <v>7</v>
      </c>
      <c r="I84" s="254">
        <f>N17</f>
        <v>0</v>
      </c>
      <c r="J84" s="258">
        <f>N8</f>
        <v>10.846153846153847</v>
      </c>
      <c r="K84" s="256">
        <f>N9</f>
        <v>3.655262883235914</v>
      </c>
      <c r="L84" s="257">
        <f>N10</f>
        <v>4</v>
      </c>
      <c r="M84" s="257">
        <f>N11</f>
        <v>15</v>
      </c>
      <c r="N84" s="256">
        <f>O8</f>
        <v>1.5384615384615385</v>
      </c>
      <c r="O84" s="256">
        <f>O9</f>
        <v>0.4985185152621431</v>
      </c>
      <c r="P84" s="257">
        <f>O10</f>
        <v>1</v>
      </c>
      <c r="Q84" s="257">
        <f>O11</f>
        <v>2</v>
      </c>
      <c r="R84" s="257">
        <f>F21</f>
        <v>8.0436</v>
      </c>
      <c r="S84" s="257">
        <f>K11</f>
        <v>0</v>
      </c>
      <c r="T84" s="257">
        <f>K12</f>
        <v>6</v>
      </c>
      <c r="U84" s="257">
        <f>K13</f>
        <v>7</v>
      </c>
      <c r="V84" s="259">
        <f>K14</f>
        <v>0</v>
      </c>
      <c r="W84" s="260">
        <f>K15</f>
        <v>1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95</v>
      </c>
      <c r="R86" s="8"/>
      <c r="S86" s="213"/>
      <c r="T86" s="8"/>
      <c r="U86" s="8"/>
      <c r="V86" s="8"/>
    </row>
    <row r="87" spans="16:22" ht="12.75" hidden="1">
      <c r="P87" s="8"/>
      <c r="Q87" s="8" t="s">
        <v>96</v>
      </c>
      <c r="R87" s="8"/>
      <c r="S87" s="213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97</v>
      </c>
      <c r="R88" s="8"/>
      <c r="S88" s="213">
        <f>VLOOKUP((S87),($S$23:$U$82),2,0)</f>
        <v>78</v>
      </c>
      <c r="T88" s="8"/>
      <c r="U88" s="8"/>
      <c r="V88" s="8"/>
    </row>
    <row r="89" spans="17:20" ht="12.75" hidden="1">
      <c r="Q89" s="8" t="s">
        <v>98</v>
      </c>
      <c r="R89" s="8"/>
      <c r="S89" s="213">
        <f>VLOOKUP((S87),($S$23:$U$82),3,0)</f>
        <v>6</v>
      </c>
      <c r="T89" s="8"/>
    </row>
    <row r="90" spans="17:20" ht="12.75">
      <c r="Q90" s="8" t="s">
        <v>99</v>
      </c>
      <c r="R90" s="8"/>
      <c r="S90" s="263">
        <f>IF(ISERROR(SUM($T$23:$T$82)/SUM($U$23:$U$82)),"",(SUM($T$23:$T$82)-S88)/(SUM($U$23:$U$82)-S89))</f>
        <v>10.464285714285714</v>
      </c>
      <c r="T90" s="8"/>
    </row>
    <row r="91" spans="17:21" ht="12.75">
      <c r="Q91" s="212" t="s">
        <v>100</v>
      </c>
      <c r="R91" s="212"/>
      <c r="S91" s="212" t="str">
        <f>INDEX('[1]liste reference'!$A$8:$A$904,$T$91)</f>
        <v>CINRIP</v>
      </c>
      <c r="T91" s="8">
        <f>IF(ISERROR(MATCH($S$93,'[1]liste reference'!$A$8:$A$904,0)),MATCH($S$93,'[1]liste reference'!$B$8:$B$904,0),(MATCH($S$93,'[1]liste reference'!$A$8:$A$904,0)))</f>
        <v>174</v>
      </c>
      <c r="U91" s="252"/>
    </row>
    <row r="92" spans="17:20" ht="12.75">
      <c r="Q92" s="8" t="s">
        <v>101</v>
      </c>
      <c r="R92" s="8"/>
      <c r="S92" s="8">
        <f>MATCH(S87,$S$23:$S$82,0)</f>
        <v>10</v>
      </c>
      <c r="T92" s="8"/>
    </row>
    <row r="93" spans="17:20" ht="12.75">
      <c r="Q93" s="212" t="s">
        <v>102</v>
      </c>
      <c r="R93" s="8"/>
      <c r="S93" s="212" t="str">
        <f>INDEX($A$23:$A$82,$S$92)</f>
        <v>CINRIP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2013-12-04T15:33:44Z</dcterms:created>
  <dcterms:modified xsi:type="dcterms:W3CDTF">2013-12-04T15:35:07Z</dcterms:modified>
  <cp:category/>
  <cp:version/>
  <cp:contentType/>
  <cp:contentStatus/>
</cp:coreProperties>
</file>