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<sst xmlns="http://schemas.openxmlformats.org/spreadsheetml/2006/main" count="219" uniqueCount="89">
  <si>
    <t>Relevés floristiques aquatiques - IBMR</t>
  </si>
  <si>
    <t xml:space="preserve">Formulaire modèle GIS Macrophytes v 3.3 - novembre 2013  </t>
  </si>
  <si>
    <t>SAGE ENVIRONNEMENT</t>
  </si>
  <si>
    <t>LISEBE PVAUDAUX</t>
  </si>
  <si>
    <t>conforme AFNOR T90-395 oct. 2003</t>
  </si>
  <si>
    <t>GIERS</t>
  </si>
  <si>
    <t>GIERS A GIVORS</t>
  </si>
  <si>
    <t>06097000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</si>
  <si>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</si>
  <si>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</si>
  <si>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</si>
  <si>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</si>
  <si>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</si>
  <si>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</si>
  <si>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</si>
  <si>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</si>
  <si>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</si>
  <si>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</si>
  <si>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 COURANT</t>
  </si>
  <si>
    <t>PL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</si>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</sst>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IGIV_30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7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7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11.28125" style="147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41820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7.6</v>
      </c>
      <c r="M5" s="52"/>
      <c r="N5" s="53" t="s">
        <v>16</v>
      </c>
      <c r="O5" s="54">
        <v>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</v>
      </c>
      <c r="O8" s="84">
        <f>IF(ISERROR(AVERAGE(J23:J82)),"      -",AVERAGE(J23:J82))</f>
        <v>1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2.01</v>
      </c>
      <c r="C9" s="87">
        <v>1.01</v>
      </c>
      <c r="D9" s="88"/>
      <c r="E9" s="88"/>
      <c r="F9" s="89">
        <f>($B9*$B$7+$C9*$C$7)/100</f>
        <v>1.8099999999999996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</v>
      </c>
      <c r="O9" s="84">
        <f>IF(ISERROR(STDEVP(J23:J82)),"      -",STDEVP(J23:J82))</f>
        <v>0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8" t="s">
        <v>32</v>
      </c>
      <c r="D10" s="99"/>
      <c r="E10" s="99"/>
      <c r="F10" s="89"/>
      <c r="G10" s="90"/>
      <c r="H10" s="100"/>
      <c r="I10" s="101"/>
      <c r="J10" s="102" t="s">
        <v>33</v>
      </c>
      <c r="K10" s="102"/>
      <c r="L10" s="103"/>
      <c r="M10" s="104" t="s">
        <v>34</v>
      </c>
      <c r="N10" s="105">
        <f>MIN(I23:I82)</f>
        <v>6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35</v>
      </c>
      <c r="B11" s="108"/>
      <c r="C11" s="109"/>
      <c r="D11" s="110"/>
      <c r="E11" s="110"/>
      <c r="F11" s="111">
        <f>($B11*$B$7+$C11*$C$7)/100</f>
        <v>0</v>
      </c>
      <c r="G11" s="112"/>
      <c r="H11" s="67"/>
      <c r="I11" s="113" t="s">
        <v>36</v>
      </c>
      <c r="J11" s="114"/>
      <c r="K11" s="115">
        <f>COUNTIF($G$23:$G$82,"=HET")</f>
        <v>0</v>
      </c>
      <c r="L11" s="116"/>
      <c r="M11" s="104" t="s">
        <v>37</v>
      </c>
      <c r="N11" s="105">
        <f>MAX(I23:I82)</f>
        <v>10</v>
      </c>
      <c r="O11" s="105">
        <f>MAX(J23:J82)</f>
        <v>1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38</v>
      </c>
      <c r="B12" s="118">
        <v>2.01</v>
      </c>
      <c r="C12" s="119">
        <v>1.01</v>
      </c>
      <c r="D12" s="110"/>
      <c r="E12" s="110"/>
      <c r="F12" s="111">
        <f>($B12*$B$7+$C12*$C$7)/100</f>
        <v>1.8099999999999996</v>
      </c>
      <c r="G12" s="120"/>
      <c r="H12" s="67"/>
      <c r="I12" s="121" t="s">
        <v>39</v>
      </c>
      <c r="J12" s="122"/>
      <c r="K12" s="115">
        <f>COUNTIF($G$23:$G$82,"=ALG")</f>
        <v>2</v>
      </c>
      <c r="L12" s="123"/>
      <c r="M12" s="124"/>
      <c r="N12" s="125" t="s">
        <v>33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40</v>
      </c>
      <c r="B13" s="118"/>
      <c r="C13" s="119"/>
      <c r="D13" s="110"/>
      <c r="E13" s="110"/>
      <c r="F13" s="111">
        <f>($B13*$B$7+$C13*$C$7)/100</f>
        <v>0</v>
      </c>
      <c r="G13" s="120"/>
      <c r="H13" s="67"/>
      <c r="I13" s="128" t="s">
        <v>41</v>
      </c>
      <c r="J13" s="122"/>
      <c r="K13" s="115">
        <f>COUNTIF($G$23:$G$82,"=BRm")+COUNTIF($G$23:$G$82,"=BRh")</f>
        <v>0</v>
      </c>
      <c r="L13" s="116"/>
      <c r="M13" s="129" t="s">
        <v>42</v>
      </c>
      <c r="N13" s="130">
        <f>COUNTIF(F23:F82,"&gt;0")</f>
        <v>2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43</v>
      </c>
      <c r="B14" s="118"/>
      <c r="C14" s="119"/>
      <c r="D14" s="110"/>
      <c r="E14" s="110"/>
      <c r="F14" s="111">
        <f>($B14*$B$7+$C14*$C$7)/100</f>
        <v>0</v>
      </c>
      <c r="G14" s="120"/>
      <c r="H14" s="67"/>
      <c r="I14" s="128" t="s">
        <v>44</v>
      </c>
      <c r="J14" s="122"/>
      <c r="K14" s="115">
        <f>COUNTIF($G$23:$G$82,"=PTE")+COUNTIF($G$23:$G$82,"=LIC")</f>
        <v>0</v>
      </c>
      <c r="L14" s="116"/>
      <c r="M14" s="133" t="s">
        <v>45</v>
      </c>
      <c r="N14" s="134">
        <f>COUNTIF($I$23:$I$82,"&gt;-1")</f>
        <v>2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46</v>
      </c>
      <c r="B15" s="137"/>
      <c r="C15" s="138"/>
      <c r="D15" s="110"/>
      <c r="E15" s="110"/>
      <c r="F15" s="111">
        <f>($B15*$B$7+$C15*$C$7)/100</f>
        <v>0</v>
      </c>
      <c r="G15" s="120"/>
      <c r="H15" s="67"/>
      <c r="I15" s="128" t="s">
        <v>47</v>
      </c>
      <c r="J15" s="122"/>
      <c r="K15" s="115">
        <f>(COUNTIF($G$23:$G$82,"=PHy"))+(COUNTIF($G$23:$G$82,"=PHe"))+(COUNTIF($G$23:$G$82,"=PHg"))+(COUNTIF($G$23:$G$82,"=PHx"))</f>
        <v>0</v>
      </c>
      <c r="L15" s="116"/>
      <c r="M15" s="139" t="s">
        <v>48</v>
      </c>
      <c r="N15" s="140">
        <f>COUNTIF(J23:J82,"=1")</f>
        <v>2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49</v>
      </c>
      <c r="B16" s="108"/>
      <c r="C16" s="109"/>
      <c r="D16" s="142"/>
      <c r="E16" s="142"/>
      <c r="F16" s="143"/>
      <c r="G16" s="143">
        <f>($B16*$B$7+$C16*$C$7)/100</f>
        <v>0</v>
      </c>
      <c r="H16" s="67"/>
      <c r="I16" s="144"/>
      <c r="J16" s="145"/>
      <c r="K16" s="145"/>
      <c r="L16" s="116"/>
      <c r="M16" s="139" t="s">
        <v>50</v>
      </c>
      <c r="N16" s="140">
        <f>COUNTIF(J23:J82,"=2")</f>
        <v>0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51</v>
      </c>
      <c r="B17" s="118">
        <v>2.01</v>
      </c>
      <c r="C17" s="119">
        <v>1.01</v>
      </c>
      <c r="D17" s="110"/>
      <c r="E17" s="110"/>
      <c r="F17" s="146"/>
      <c r="G17" s="111">
        <f>($B17*$B$7+$C17*$C$7)/100</f>
        <v>1.8099999999999996</v>
      </c>
      <c r="H17" s="67"/>
      <c r="I17" s="128"/>
      <c r="J17" s="122"/>
      <c r="K17" s="145"/>
      <c r="L17" s="116"/>
      <c r="M17" s="139" t="s">
        <v>52</v>
      </c>
      <c r="N17" s="140">
        <f>COUNTIF(J23:J82,"=3")</f>
        <v>0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53</v>
      </c>
      <c r="B18" s="149"/>
      <c r="C18" s="150"/>
      <c r="D18" s="110"/>
      <c r="E18" s="151" t="s">
        <v>54</v>
      </c>
      <c r="F18" s="146"/>
      <c r="G18" s="111">
        <f>($B18*$B$7+$C18*$C$7)/100</f>
        <v>0</v>
      </c>
      <c r="H18" s="67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55</v>
      </c>
      <c r="W18" s="154" t="s">
        <v>55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1.8099999999999996</v>
      </c>
      <c r="G19" s="160">
        <f>SUM(G16:G18)</f>
        <v>1.8099999999999996</v>
      </c>
      <c r="H19" s="161"/>
      <c r="I19" s="162"/>
      <c r="J19" s="163"/>
      <c r="K19" s="164"/>
      <c r="L19" s="165"/>
      <c r="M19" s="166"/>
      <c r="N19" s="59"/>
      <c r="O19" s="167"/>
      <c r="P19" s="153"/>
      <c r="Q19" s="8"/>
      <c r="R19" s="8"/>
      <c r="S19" s="8"/>
      <c r="T19" s="8"/>
      <c r="U19" s="8"/>
      <c r="V19" s="8" t="s">
        <v>55</v>
      </c>
      <c r="W19" s="154" t="s">
        <v>55</v>
      </c>
    </row>
    <row r="20" spans="1:23" ht="12.75">
      <c r="A20" s="168" t="s">
        <v>56</v>
      </c>
      <c r="B20" s="169">
        <f>SUM(B23:B82)</f>
        <v>2.01</v>
      </c>
      <c r="C20" s="170">
        <f>SUM(C23:C82)</f>
        <v>1.01</v>
      </c>
      <c r="D20" s="171"/>
      <c r="E20" s="172" t="s">
        <v>54</v>
      </c>
      <c r="F20" s="173">
        <f>($B20*$B$7+$C20*$C$7)/100</f>
        <v>1.8099999999999996</v>
      </c>
      <c r="G20" s="174"/>
      <c r="H20" s="175"/>
      <c r="I20" s="176"/>
      <c r="J20" s="176"/>
      <c r="K20" s="177"/>
      <c r="L20" s="46"/>
      <c r="M20" s="178"/>
      <c r="N20" s="178"/>
      <c r="O20" s="179"/>
      <c r="P20" s="180"/>
      <c r="Q20" s="181" t="s">
        <v>57</v>
      </c>
      <c r="R20" s="8"/>
      <c r="S20" s="8"/>
      <c r="T20" s="8"/>
      <c r="U20" s="8"/>
      <c r="V20" s="8" t="s">
        <v>55</v>
      </c>
      <c r="W20" s="154" t="s">
        <v>55</v>
      </c>
    </row>
    <row r="21" spans="1:23" ht="12.75">
      <c r="A21" s="182" t="s">
        <v>58</v>
      </c>
      <c r="B21" s="183">
        <f>B20*B7/100</f>
        <v>1.6079999999999999</v>
      </c>
      <c r="C21" s="183">
        <f>C20*C7/100</f>
        <v>0.20199999999999999</v>
      </c>
      <c r="D21" s="110">
        <f>IF(F21=0,"",IF((ABS(F21-F19))&gt;(0.2*F21),CONCATENATE(" rec. par taxa (",F21," %) supérieur à 20 % !"),""))</f>
      </c>
      <c r="E21" s="184">
        <f>IF(F21=0,"",IF((ABS(F21-F19))&gt;(0.2*F21),CONCATENATE("ATTENTION : écart entre rec. par grp (",F19," %) ","et",""),""))</f>
      </c>
      <c r="F21" s="185">
        <f>B21+C21</f>
        <v>1.8099999999999998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59</v>
      </c>
      <c r="R21" s="8"/>
      <c r="S21" s="8"/>
      <c r="T21" s="8"/>
      <c r="U21" s="8"/>
      <c r="V21" s="8" t="s">
        <v>55</v>
      </c>
      <c r="W21" s="154" t="s">
        <v>55</v>
      </c>
    </row>
    <row r="22" spans="1:29" ht="12.75">
      <c r="A22" s="193" t="s">
        <v>60</v>
      </c>
      <c r="B22" s="194" t="s">
        <v>61</v>
      </c>
      <c r="C22" s="195" t="s">
        <v>61</v>
      </c>
      <c r="D22" s="142"/>
      <c r="E22" s="142"/>
      <c r="F22" s="196" t="s">
        <v>62</v>
      </c>
      <c r="G22" s="197" t="s">
        <v>63</v>
      </c>
      <c r="H22" s="142"/>
      <c r="I22" s="198" t="s">
        <v>64</v>
      </c>
      <c r="J22" s="198" t="s">
        <v>65</v>
      </c>
      <c r="K22" s="199" t="s">
        <v>66</v>
      </c>
      <c r="L22" s="199"/>
      <c r="M22" s="199"/>
      <c r="N22" s="199"/>
      <c r="O22" s="200"/>
      <c r="P22" s="201" t="s">
        <v>67</v>
      </c>
      <c r="Q22" s="202" t="s">
        <v>68</v>
      </c>
      <c r="R22" s="203" t="s">
        <v>69</v>
      </c>
      <c r="S22" s="204" t="s">
        <v>70</v>
      </c>
      <c r="T22" s="205" t="s">
        <v>71</v>
      </c>
      <c r="U22" s="206" t="s">
        <v>72</v>
      </c>
      <c r="V22" s="204" t="s">
        <v>73</v>
      </c>
      <c r="Y22" s="8" t="s">
        <v>74</v>
      </c>
      <c r="Z22" s="8" t="s">
        <v>75</v>
      </c>
      <c r="AA22" s="207" t="s">
        <v>76</v>
      </c>
      <c r="AB22" s="207" t="s">
        <v>77</v>
      </c>
      <c r="AC22" s="208" t="s">
        <v>78</v>
      </c>
    </row>
    <row r="23" spans="1:54" ht="12.75">
      <c r="A23" s="209" t="s">
        <v>79</v>
      </c>
      <c r="B23" s="210">
        <v>1.97</v>
      </c>
      <c r="C23" s="211">
        <v>0.61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2" t="e">
        <f>IF(D23="",,VLOOKUP(D23,D$22:D22,1,0))</f>
        <v>#N/A</v>
      </c>
      <c r="F23" s="213">
        <f aca="true" t="shared" si="0" ref="F23:F82">($B23*$B$7+$C23*$C$7)/100</f>
        <v>1.6979999999999997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0">
        <f aca="true" t="shared" si="1" ref="Q23:Q82">IF(ISTEXT(H23),"",(B23*$B$7/100)+(C23*$C$7/100))</f>
        <v>1.698</v>
      </c>
      <c r="R23" s="221">
        <f aca="true" t="shared" si="2" ref="R23:R82">IF(OR(ISTEXT(H23),Q23=0),"",IF(Q23&lt;0.1,1,IF(Q23&lt;1,2,IF(Q23&lt;10,3,IF(Q23&lt;50,4,IF(Q23&gt;=50,5,""))))))</f>
        <v>3</v>
      </c>
      <c r="S23" s="221">
        <f aca="true" t="shared" si="3" ref="S23:S82">IF(ISERROR(R23*I23),0,R23*I23)</f>
        <v>18</v>
      </c>
      <c r="T23" s="221">
        <f aca="true" t="shared" si="4" ref="T23:T82">IF(ISERROR(R23*I23*J23),0,R23*I23*J23)</f>
        <v>18</v>
      </c>
      <c r="U23" s="221">
        <f aca="true" t="shared" si="5" ref="U23:U82">IF(ISERROR(R23*J23),0,R23*J23)</f>
        <v>3</v>
      </c>
      <c r="V23" s="222">
        <f aca="true" t="shared" si="6" ref="V23:V82">IF(AND(A23="",F23=0),"",IF(F23=0,"Il manque le(s) % de rec. !",""))</f>
      </c>
      <c r="W23" s="223" t="s">
        <v>55</v>
      </c>
      <c r="Y23" s="22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5"/>
      <c r="AB23" s="226"/>
      <c r="AC23" s="226"/>
      <c r="BB23" s="8">
        <f aca="true" t="shared" si="7" ref="BB23:BB82">IF(A23="","",1)</f>
        <v>1</v>
      </c>
    </row>
    <row r="24" spans="1:54" ht="12.75">
      <c r="A24" s="227" t="s">
        <v>16</v>
      </c>
      <c r="B24" s="228">
        <v>0.04</v>
      </c>
      <c r="C24" s="229">
        <v>0.4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30" t="e">
        <f>IF(D24="",,VLOOKUP(D24,D$22:D23,1,0))</f>
        <v>#N/A</v>
      </c>
      <c r="F24" s="231">
        <f t="shared" si="0"/>
        <v>0.11199999999999999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32"/>
      <c r="M24" s="232"/>
      <c r="N24" s="232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20">
        <f t="shared" si="1"/>
        <v>0.112</v>
      </c>
      <c r="R24" s="221">
        <f t="shared" si="2"/>
        <v>2</v>
      </c>
      <c r="S24" s="221">
        <f t="shared" si="3"/>
        <v>20</v>
      </c>
      <c r="T24" s="221">
        <f t="shared" si="4"/>
        <v>20</v>
      </c>
      <c r="U24" s="233">
        <f t="shared" si="5"/>
        <v>2</v>
      </c>
      <c r="V24" s="222">
        <f t="shared" si="6"/>
      </c>
      <c r="W24" s="223" t="s">
        <v>55</v>
      </c>
      <c r="Y24" s="224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25"/>
      <c r="AB24" s="226"/>
      <c r="AC24" s="226"/>
      <c r="BB24" s="8">
        <f t="shared" si="7"/>
        <v>1</v>
      </c>
    </row>
    <row r="25" spans="1:54" ht="12.75">
      <c r="A25" s="227" t="s">
        <v>55</v>
      </c>
      <c r="B25" s="228"/>
      <c r="C25" s="229"/>
      <c r="D25" s="212">
        <f>IF(ISERROR(VLOOKUP($A25,'[1]liste reference'!$A$7:$D$904,2,0)),IF(ISERROR(VLOOKUP($A25,'[1]liste reference'!$B$7:$D$904,1,0)),"",VLOOKUP($A25,'[1]liste reference'!$B$7:$D$904,1,0)),VLOOKUP($A25,'[1]liste reference'!$A$7:$D$904,2,0))</f>
      </c>
      <c r="E25" s="230">
        <f>IF(D25="",,VLOOKUP(D25,D$22:D24,1,0))</f>
        <v>0</v>
      </c>
      <c r="F25" s="231">
        <f t="shared" si="0"/>
        <v>0</v>
      </c>
      <c r="G25" s="214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</c>
      <c r="H25" s="215" t="str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x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17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</c>
      <c r="L25" s="232"/>
      <c r="M25" s="232"/>
      <c r="N25" s="232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</c>
      <c r="Q25" s="220">
        <f t="shared" si="1"/>
      </c>
      <c r="R25" s="221">
        <f t="shared" si="2"/>
      </c>
      <c r="S25" s="221">
        <f t="shared" si="3"/>
        <v>0</v>
      </c>
      <c r="T25" s="221">
        <f t="shared" si="4"/>
        <v>0</v>
      </c>
      <c r="U25" s="233">
        <f t="shared" si="5"/>
        <v>0</v>
      </c>
      <c r="V25" s="222">
        <f t="shared" si="6"/>
      </c>
      <c r="W25" s="223" t="s">
        <v>55</v>
      </c>
      <c r="Y25" s="224">
        <f>IF(A25="new.cod","NEWCOD",IF(AND((Z25=""),ISTEXT(A25)),A25,IF(Z25="","",INDEX('[1]liste reference'!$A$8:$A$904,Z25))))</f>
      </c>
      <c r="Z25" s="8">
        <f>IF(ISERROR(MATCH(A25,'[1]liste reference'!$A$8:$A$904,0)),IF(ISERROR(MATCH(A25,'[1]liste reference'!$B$8:$B$904,0)),"",(MATCH(A25,'[1]liste reference'!$B$8:$B$904,0))),(MATCH(A25,'[1]liste reference'!$A$8:$A$904,0)))</f>
      </c>
      <c r="AA25" s="225"/>
      <c r="AB25" s="226"/>
      <c r="AC25" s="226"/>
      <c r="BB25" s="8">
        <f t="shared" si="7"/>
      </c>
    </row>
    <row r="26" spans="1:54" ht="12.75">
      <c r="A26" s="227" t="s">
        <v>55</v>
      </c>
      <c r="B26" s="228"/>
      <c r="C26" s="229"/>
      <c r="D26" s="212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30">
        <f>IF(D26="",,VLOOKUP(D26,D$22:D25,1,0))</f>
        <v>0</v>
      </c>
      <c r="F26" s="231">
        <f t="shared" si="0"/>
        <v>0</v>
      </c>
      <c r="G26" s="214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</c>
      <c r="H26" s="215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7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</c>
      <c r="L26" s="232"/>
      <c r="M26" s="232"/>
      <c r="N26" s="232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20">
        <f t="shared" si="1"/>
      </c>
      <c r="R26" s="221">
        <f t="shared" si="2"/>
      </c>
      <c r="S26" s="221">
        <f t="shared" si="3"/>
        <v>0</v>
      </c>
      <c r="T26" s="221">
        <f t="shared" si="4"/>
        <v>0</v>
      </c>
      <c r="U26" s="233">
        <f t="shared" si="5"/>
        <v>0</v>
      </c>
      <c r="V26" s="222">
        <f t="shared" si="6"/>
      </c>
      <c r="W26" s="223" t="s">
        <v>55</v>
      </c>
      <c r="Y26" s="224">
        <f>IF(A26="new.cod","NEWCOD",IF(AND((Z26=""),ISTEXT(A26)),A26,IF(Z26="","",INDEX('[1]liste reference'!$A$8:$A$904,Z26))))</f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25"/>
      <c r="AB26" s="226"/>
      <c r="AC26" s="226"/>
      <c r="BB26" s="8">
        <f t="shared" si="7"/>
      </c>
    </row>
    <row r="27" spans="1:54" ht="12.75">
      <c r="A27" s="227" t="s">
        <v>55</v>
      </c>
      <c r="B27" s="228"/>
      <c r="C27" s="229"/>
      <c r="D27" s="212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30">
        <f>IF(D27="",,VLOOKUP(D27,D$22:D26,1,0))</f>
        <v>0</v>
      </c>
      <c r="F27" s="231">
        <f t="shared" si="0"/>
        <v>0</v>
      </c>
      <c r="G27" s="214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15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7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32"/>
      <c r="M27" s="232"/>
      <c r="N27" s="232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20">
        <f t="shared" si="1"/>
      </c>
      <c r="R27" s="221">
        <f t="shared" si="2"/>
      </c>
      <c r="S27" s="221">
        <f t="shared" si="3"/>
        <v>0</v>
      </c>
      <c r="T27" s="221">
        <f t="shared" si="4"/>
        <v>0</v>
      </c>
      <c r="U27" s="233">
        <f t="shared" si="5"/>
        <v>0</v>
      </c>
      <c r="V27" s="222">
        <f t="shared" si="6"/>
      </c>
      <c r="W27" s="234" t="s">
        <v>55</v>
      </c>
      <c r="Y27" s="224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25"/>
      <c r="AB27" s="226"/>
      <c r="AC27" s="226"/>
      <c r="BB27" s="8">
        <f t="shared" si="7"/>
      </c>
    </row>
    <row r="28" spans="1:54" ht="12.75">
      <c r="A28" s="227" t="s">
        <v>55</v>
      </c>
      <c r="B28" s="228"/>
      <c r="C28" s="229"/>
      <c r="D28" s="212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0">
        <f>IF(D28="",,VLOOKUP(D28,D$22:D27,1,0))</f>
        <v>0</v>
      </c>
      <c r="F28" s="231">
        <f t="shared" si="0"/>
        <v>0</v>
      </c>
      <c r="G28" s="214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5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7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32"/>
      <c r="M28" s="232"/>
      <c r="N28" s="232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20">
        <f t="shared" si="1"/>
      </c>
      <c r="R28" s="221">
        <f t="shared" si="2"/>
      </c>
      <c r="S28" s="221">
        <f t="shared" si="3"/>
        <v>0</v>
      </c>
      <c r="T28" s="221">
        <f t="shared" si="4"/>
        <v>0</v>
      </c>
      <c r="U28" s="233">
        <f t="shared" si="5"/>
        <v>0</v>
      </c>
      <c r="V28" s="222">
        <f t="shared" si="6"/>
      </c>
      <c r="W28" s="223" t="s">
        <v>55</v>
      </c>
      <c r="Y28" s="224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5"/>
      <c r="AB28" s="226"/>
      <c r="AC28" s="226"/>
      <c r="BB28" s="8">
        <f t="shared" si="7"/>
      </c>
    </row>
    <row r="29" spans="1:54" ht="12.75">
      <c r="A29" s="227" t="s">
        <v>55</v>
      </c>
      <c r="B29" s="228"/>
      <c r="C29" s="229"/>
      <c r="D29" s="212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0">
        <f>IF(D29="",,VLOOKUP(D29,D$22:D28,1,0))</f>
        <v>0</v>
      </c>
      <c r="F29" s="231">
        <f t="shared" si="0"/>
        <v>0</v>
      </c>
      <c r="G29" s="214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5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7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2"/>
      <c r="M29" s="232"/>
      <c r="N29" s="232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0">
        <f t="shared" si="1"/>
      </c>
      <c r="R29" s="221">
        <f t="shared" si="2"/>
      </c>
      <c r="S29" s="221">
        <f t="shared" si="3"/>
        <v>0</v>
      </c>
      <c r="T29" s="221">
        <f t="shared" si="4"/>
        <v>0</v>
      </c>
      <c r="U29" s="233">
        <f t="shared" si="5"/>
        <v>0</v>
      </c>
      <c r="V29" s="222">
        <f t="shared" si="6"/>
      </c>
      <c r="W29" s="223" t="s">
        <v>55</v>
      </c>
      <c r="X29" s="223"/>
      <c r="Y29" s="224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5"/>
      <c r="AB29" s="226"/>
      <c r="AC29" s="226"/>
      <c r="BB29" s="8">
        <f t="shared" si="7"/>
      </c>
    </row>
    <row r="30" spans="1:54" ht="12.75">
      <c r="A30" s="227" t="s">
        <v>55</v>
      </c>
      <c r="B30" s="228"/>
      <c r="C30" s="229"/>
      <c r="D30" s="21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0">
        <f>IF(D30="",,VLOOKUP(D30,D$22:D29,1,0))</f>
        <v>0</v>
      </c>
      <c r="F30" s="231">
        <f t="shared" si="0"/>
        <v>0</v>
      </c>
      <c r="G30" s="214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5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7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2"/>
      <c r="M30" s="232"/>
      <c r="N30" s="232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0">
        <f t="shared" si="1"/>
      </c>
      <c r="R30" s="221">
        <f t="shared" si="2"/>
      </c>
      <c r="S30" s="221">
        <f t="shared" si="3"/>
        <v>0</v>
      </c>
      <c r="T30" s="221">
        <f t="shared" si="4"/>
        <v>0</v>
      </c>
      <c r="U30" s="233">
        <f t="shared" si="5"/>
        <v>0</v>
      </c>
      <c r="V30" s="222">
        <f t="shared" si="6"/>
      </c>
      <c r="W30" s="223" t="s">
        <v>55</v>
      </c>
      <c r="Y30" s="224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5"/>
      <c r="AB30" s="226"/>
      <c r="AC30" s="226"/>
      <c r="BB30" s="8">
        <f t="shared" si="7"/>
      </c>
    </row>
    <row r="31" spans="1:54" ht="12.75">
      <c r="A31" s="227" t="s">
        <v>55</v>
      </c>
      <c r="B31" s="228"/>
      <c r="C31" s="229"/>
      <c r="D31" s="21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0">
        <f>IF(D31="",,VLOOKUP(D31,D$22:D30,1,0))</f>
        <v>0</v>
      </c>
      <c r="F31" s="231">
        <f t="shared" si="0"/>
        <v>0</v>
      </c>
      <c r="G31" s="21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2"/>
      <c r="M31" s="232"/>
      <c r="N31" s="232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0">
        <f t="shared" si="1"/>
      </c>
      <c r="R31" s="221">
        <f t="shared" si="2"/>
      </c>
      <c r="S31" s="221">
        <f t="shared" si="3"/>
        <v>0</v>
      </c>
      <c r="T31" s="221">
        <f t="shared" si="4"/>
        <v>0</v>
      </c>
      <c r="U31" s="233">
        <f t="shared" si="5"/>
        <v>0</v>
      </c>
      <c r="V31" s="222">
        <f t="shared" si="6"/>
      </c>
      <c r="W31" s="223" t="s">
        <v>55</v>
      </c>
      <c r="Y31" s="22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5"/>
      <c r="AB31" s="226"/>
      <c r="AC31" s="226"/>
      <c r="BB31" s="8">
        <f t="shared" si="7"/>
      </c>
    </row>
    <row r="32" spans="1:54" ht="12.75">
      <c r="A32" s="227" t="s">
        <v>55</v>
      </c>
      <c r="B32" s="228"/>
      <c r="C32" s="229"/>
      <c r="D32" s="21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0">
        <f>IF(D32="",,VLOOKUP(D32,D$22:D31,1,0))</f>
        <v>0</v>
      </c>
      <c r="F32" s="231">
        <f t="shared" si="0"/>
        <v>0</v>
      </c>
      <c r="G32" s="21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2"/>
      <c r="M32" s="232"/>
      <c r="N32" s="232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0">
        <f t="shared" si="1"/>
      </c>
      <c r="R32" s="221">
        <f t="shared" si="2"/>
      </c>
      <c r="S32" s="221">
        <f t="shared" si="3"/>
        <v>0</v>
      </c>
      <c r="T32" s="221">
        <f t="shared" si="4"/>
        <v>0</v>
      </c>
      <c r="U32" s="233">
        <f t="shared" si="5"/>
        <v>0</v>
      </c>
      <c r="V32" s="222">
        <f t="shared" si="6"/>
      </c>
      <c r="W32" s="223" t="s">
        <v>55</v>
      </c>
      <c r="Y32" s="22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5"/>
      <c r="AB32" s="226"/>
      <c r="AC32" s="226"/>
      <c r="BB32" s="8">
        <f t="shared" si="7"/>
      </c>
    </row>
    <row r="33" spans="1:54" ht="12.75">
      <c r="A33" s="227" t="s">
        <v>55</v>
      </c>
      <c r="B33" s="228"/>
      <c r="C33" s="229"/>
      <c r="D33" s="21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0">
        <f>IF(D33="",,VLOOKUP(D33,D$22:D32,1,0))</f>
        <v>0</v>
      </c>
      <c r="F33" s="231">
        <f t="shared" si="0"/>
        <v>0</v>
      </c>
      <c r="G33" s="21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2"/>
      <c r="M33" s="232"/>
      <c r="N33" s="232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0">
        <f t="shared" si="1"/>
      </c>
      <c r="R33" s="221">
        <f t="shared" si="2"/>
      </c>
      <c r="S33" s="221">
        <f t="shared" si="3"/>
        <v>0</v>
      </c>
      <c r="T33" s="221">
        <f t="shared" si="4"/>
        <v>0</v>
      </c>
      <c r="U33" s="233">
        <f t="shared" si="5"/>
        <v>0</v>
      </c>
      <c r="V33" s="222">
        <f t="shared" si="6"/>
      </c>
      <c r="W33" s="223" t="s">
        <v>55</v>
      </c>
      <c r="Y33" s="22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5"/>
      <c r="AB33" s="226"/>
      <c r="AC33" s="226"/>
      <c r="BB33" s="8">
        <f t="shared" si="7"/>
      </c>
    </row>
    <row r="34" spans="1:54" ht="12.75">
      <c r="A34" s="227" t="s">
        <v>55</v>
      </c>
      <c r="B34" s="228"/>
      <c r="C34" s="229"/>
      <c r="D34" s="21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0">
        <f>IF(D34="",,VLOOKUP(D34,D$22:D33,1,0))</f>
        <v>0</v>
      </c>
      <c r="F34" s="235">
        <f t="shared" si="0"/>
        <v>0</v>
      </c>
      <c r="G34" s="21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2"/>
      <c r="M34" s="232"/>
      <c r="N34" s="232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0">
        <f t="shared" si="1"/>
      </c>
      <c r="R34" s="221">
        <f t="shared" si="2"/>
      </c>
      <c r="S34" s="221">
        <f t="shared" si="3"/>
        <v>0</v>
      </c>
      <c r="T34" s="221">
        <f t="shared" si="4"/>
        <v>0</v>
      </c>
      <c r="U34" s="233">
        <f t="shared" si="5"/>
        <v>0</v>
      </c>
      <c r="V34" s="222">
        <f t="shared" si="6"/>
      </c>
      <c r="W34" s="223" t="s">
        <v>55</v>
      </c>
      <c r="Y34" s="22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5"/>
      <c r="AB34" s="226"/>
      <c r="AC34" s="226"/>
      <c r="BB34" s="8">
        <f t="shared" si="7"/>
      </c>
    </row>
    <row r="35" spans="1:54" ht="12.75">
      <c r="A35" s="227" t="s">
        <v>55</v>
      </c>
      <c r="B35" s="228"/>
      <c r="C35" s="229"/>
      <c r="D35" s="21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0">
        <f>IF(D35="",,VLOOKUP(D35,D$22:D34,1,0))</f>
        <v>0</v>
      </c>
      <c r="F35" s="235">
        <f t="shared" si="0"/>
        <v>0</v>
      </c>
      <c r="G35" s="21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2"/>
      <c r="M35" s="232"/>
      <c r="N35" s="232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0">
        <f t="shared" si="1"/>
      </c>
      <c r="R35" s="221">
        <f t="shared" si="2"/>
      </c>
      <c r="S35" s="221">
        <f t="shared" si="3"/>
        <v>0</v>
      </c>
      <c r="T35" s="221">
        <f t="shared" si="4"/>
        <v>0</v>
      </c>
      <c r="U35" s="233">
        <f t="shared" si="5"/>
        <v>0</v>
      </c>
      <c r="V35" s="222">
        <f t="shared" si="6"/>
      </c>
      <c r="W35" s="223" t="s">
        <v>55</v>
      </c>
      <c r="Y35" s="22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5"/>
      <c r="AB35" s="226"/>
      <c r="AC35" s="226"/>
      <c r="BB35" s="8">
        <f t="shared" si="7"/>
      </c>
    </row>
    <row r="36" spans="1:54" ht="12.75">
      <c r="A36" s="227" t="s">
        <v>55</v>
      </c>
      <c r="B36" s="228"/>
      <c r="C36" s="229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0">
        <f>IF(D36="",,VLOOKUP(D36,D$22:D35,1,0))</f>
        <v>0</v>
      </c>
      <c r="F36" s="235">
        <f t="shared" si="0"/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2"/>
      <c r="M36" s="232"/>
      <c r="N36" s="232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 t="shared" si="1"/>
      </c>
      <c r="R36" s="221">
        <f t="shared" si="2"/>
      </c>
      <c r="S36" s="221">
        <f t="shared" si="3"/>
        <v>0</v>
      </c>
      <c r="T36" s="221">
        <f t="shared" si="4"/>
        <v>0</v>
      </c>
      <c r="U36" s="233">
        <f t="shared" si="5"/>
        <v>0</v>
      </c>
      <c r="V36" s="222">
        <f t="shared" si="6"/>
      </c>
      <c r="W36" s="223" t="s">
        <v>55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 t="shared" si="7"/>
      </c>
    </row>
    <row r="37" spans="1:54" ht="12.75">
      <c r="A37" s="227" t="s">
        <v>55</v>
      </c>
      <c r="B37" s="228"/>
      <c r="C37" s="229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0">
        <f>IF(D37="",,VLOOKUP(D37,D$22:D36,1,0))</f>
        <v>0</v>
      </c>
      <c r="F37" s="235">
        <f t="shared" si="0"/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2"/>
      <c r="M37" s="232"/>
      <c r="N37" s="232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 t="shared" si="1"/>
      </c>
      <c r="R37" s="221">
        <f t="shared" si="2"/>
      </c>
      <c r="S37" s="221">
        <f t="shared" si="3"/>
        <v>0</v>
      </c>
      <c r="T37" s="221">
        <f t="shared" si="4"/>
        <v>0</v>
      </c>
      <c r="U37" s="233">
        <f t="shared" si="5"/>
        <v>0</v>
      </c>
      <c r="V37" s="222">
        <f t="shared" si="6"/>
      </c>
      <c r="W37" s="223" t="s">
        <v>55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 t="shared" si="7"/>
      </c>
    </row>
    <row r="38" spans="1:54" ht="12.75">
      <c r="A38" s="227" t="s">
        <v>55</v>
      </c>
      <c r="B38" s="228"/>
      <c r="C38" s="229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0">
        <f>IF(D38="",,VLOOKUP(D38,D$22:D37,1,0))</f>
        <v>0</v>
      </c>
      <c r="F38" s="235">
        <f t="shared" si="0"/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2"/>
      <c r="M38" s="232"/>
      <c r="N38" s="232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 t="shared" si="1"/>
      </c>
      <c r="R38" s="221">
        <f t="shared" si="2"/>
      </c>
      <c r="S38" s="221">
        <f t="shared" si="3"/>
        <v>0</v>
      </c>
      <c r="T38" s="221">
        <f t="shared" si="4"/>
        <v>0</v>
      </c>
      <c r="U38" s="233">
        <f t="shared" si="5"/>
        <v>0</v>
      </c>
      <c r="V38" s="222">
        <f t="shared" si="6"/>
      </c>
      <c r="W38" s="223" t="s">
        <v>55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 t="shared" si="7"/>
      </c>
    </row>
    <row r="39" spans="1:54" ht="12.75">
      <c r="A39" s="227" t="s">
        <v>55</v>
      </c>
      <c r="B39" s="228"/>
      <c r="C39" s="229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0">
        <f>IF(D39="",,VLOOKUP(D39,D$22:D38,1,0))</f>
        <v>0</v>
      </c>
      <c r="F39" s="235">
        <f t="shared" si="0"/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2"/>
      <c r="M39" s="232"/>
      <c r="N39" s="232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 t="shared" si="1"/>
      </c>
      <c r="R39" s="221">
        <f t="shared" si="2"/>
      </c>
      <c r="S39" s="221">
        <f t="shared" si="3"/>
        <v>0</v>
      </c>
      <c r="T39" s="221">
        <f t="shared" si="4"/>
        <v>0</v>
      </c>
      <c r="U39" s="233">
        <f t="shared" si="5"/>
        <v>0</v>
      </c>
      <c r="V39" s="222">
        <f t="shared" si="6"/>
      </c>
      <c r="W39" s="223" t="s">
        <v>55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 t="shared" si="7"/>
      </c>
    </row>
    <row r="40" spans="1:54" ht="12.75">
      <c r="A40" s="227" t="s">
        <v>55</v>
      </c>
      <c r="B40" s="228"/>
      <c r="C40" s="229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0">
        <f>IF(D40="",,VLOOKUP(D40,D$22:D39,1,0))</f>
        <v>0</v>
      </c>
      <c r="F40" s="235">
        <f t="shared" si="0"/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2"/>
      <c r="M40" s="232"/>
      <c r="N40" s="232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 t="shared" si="1"/>
      </c>
      <c r="R40" s="221">
        <f t="shared" si="2"/>
      </c>
      <c r="S40" s="221">
        <f t="shared" si="3"/>
        <v>0</v>
      </c>
      <c r="T40" s="221">
        <f t="shared" si="4"/>
        <v>0</v>
      </c>
      <c r="U40" s="233">
        <f t="shared" si="5"/>
        <v>0</v>
      </c>
      <c r="V40" s="222">
        <f t="shared" si="6"/>
      </c>
      <c r="W40" s="223" t="s">
        <v>55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 t="shared" si="7"/>
      </c>
    </row>
    <row r="41" spans="1:54" ht="12.75">
      <c r="A41" s="227" t="s">
        <v>55</v>
      </c>
      <c r="B41" s="228"/>
      <c r="C41" s="229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0">
        <f>IF(D41="",,VLOOKUP(D41,D$22:D40,1,0))</f>
        <v>0</v>
      </c>
      <c r="F41" s="235">
        <f t="shared" si="0"/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2"/>
      <c r="M41" s="232"/>
      <c r="N41" s="232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 t="shared" si="1"/>
      </c>
      <c r="R41" s="221">
        <f t="shared" si="2"/>
      </c>
      <c r="S41" s="221">
        <f t="shared" si="3"/>
        <v>0</v>
      </c>
      <c r="T41" s="221">
        <f t="shared" si="4"/>
        <v>0</v>
      </c>
      <c r="U41" s="233">
        <f t="shared" si="5"/>
        <v>0</v>
      </c>
      <c r="V41" s="222">
        <f t="shared" si="6"/>
      </c>
      <c r="W41" s="223" t="s">
        <v>55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 t="shared" si="7"/>
      </c>
    </row>
    <row r="42" spans="1:54" ht="12.75">
      <c r="A42" s="227" t="s">
        <v>55</v>
      </c>
      <c r="B42" s="228"/>
      <c r="C42" s="229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0">
        <f>IF(D42="",,VLOOKUP(D42,D$22:D41,1,0))</f>
        <v>0</v>
      </c>
      <c r="F42" s="235">
        <f t="shared" si="0"/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2"/>
      <c r="M42" s="232"/>
      <c r="N42" s="232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 t="shared" si="1"/>
      </c>
      <c r="R42" s="221">
        <f t="shared" si="2"/>
      </c>
      <c r="S42" s="221">
        <f t="shared" si="3"/>
        <v>0</v>
      </c>
      <c r="T42" s="221">
        <f t="shared" si="4"/>
        <v>0</v>
      </c>
      <c r="U42" s="233">
        <f t="shared" si="5"/>
        <v>0</v>
      </c>
      <c r="V42" s="222">
        <f t="shared" si="6"/>
      </c>
      <c r="W42" s="223" t="s">
        <v>55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 t="shared" si="7"/>
      </c>
    </row>
    <row r="43" spans="1:54" ht="12.75">
      <c r="A43" s="227" t="s">
        <v>55</v>
      </c>
      <c r="B43" s="228"/>
      <c r="C43" s="229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0">
        <f>IF(D43="",,VLOOKUP(D43,D$22:D42,1,0))</f>
        <v>0</v>
      </c>
      <c r="F43" s="235">
        <f t="shared" si="0"/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2"/>
      <c r="M43" s="232"/>
      <c r="N43" s="232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 t="shared" si="1"/>
      </c>
      <c r="R43" s="221">
        <f t="shared" si="2"/>
      </c>
      <c r="S43" s="221">
        <f t="shared" si="3"/>
        <v>0</v>
      </c>
      <c r="T43" s="221">
        <f t="shared" si="4"/>
        <v>0</v>
      </c>
      <c r="U43" s="233">
        <f t="shared" si="5"/>
        <v>0</v>
      </c>
      <c r="V43" s="222">
        <f t="shared" si="6"/>
      </c>
      <c r="W43" s="223" t="s">
        <v>55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 t="shared" si="7"/>
      </c>
    </row>
    <row r="44" spans="1:54" ht="12.75">
      <c r="A44" s="227" t="s">
        <v>55</v>
      </c>
      <c r="B44" s="228"/>
      <c r="C44" s="229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0">
        <f>IF(D44="",,VLOOKUP(D44,D$22:D43,1,0))</f>
        <v>0</v>
      </c>
      <c r="F44" s="235">
        <f t="shared" si="0"/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2"/>
      <c r="M44" s="232"/>
      <c r="N44" s="232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 t="shared" si="1"/>
      </c>
      <c r="R44" s="221">
        <f t="shared" si="2"/>
      </c>
      <c r="S44" s="221">
        <f t="shared" si="3"/>
        <v>0</v>
      </c>
      <c r="T44" s="221">
        <f t="shared" si="4"/>
        <v>0</v>
      </c>
      <c r="U44" s="233">
        <f t="shared" si="5"/>
        <v>0</v>
      </c>
      <c r="V44" s="222">
        <f t="shared" si="6"/>
      </c>
      <c r="W44" s="223" t="s">
        <v>55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 t="shared" si="7"/>
      </c>
    </row>
    <row r="45" spans="1:54" ht="12.75">
      <c r="A45" s="227" t="s">
        <v>55</v>
      </c>
      <c r="B45" s="228"/>
      <c r="C45" s="229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0">
        <f>IF(D45="",,VLOOKUP(D45,D$22:D44,1,0))</f>
        <v>0</v>
      </c>
      <c r="F45" s="235">
        <f t="shared" si="0"/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2"/>
      <c r="M45" s="232"/>
      <c r="N45" s="232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 t="shared" si="1"/>
      </c>
      <c r="R45" s="221">
        <f t="shared" si="2"/>
      </c>
      <c r="S45" s="221">
        <f t="shared" si="3"/>
        <v>0</v>
      </c>
      <c r="T45" s="221">
        <f t="shared" si="4"/>
        <v>0</v>
      </c>
      <c r="U45" s="233">
        <f t="shared" si="5"/>
        <v>0</v>
      </c>
      <c r="V45" s="222">
        <f t="shared" si="6"/>
      </c>
      <c r="W45" s="223" t="s">
        <v>55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 t="shared" si="7"/>
      </c>
    </row>
    <row r="46" spans="1:54" ht="12.75">
      <c r="A46" s="227" t="s">
        <v>55</v>
      </c>
      <c r="B46" s="228"/>
      <c r="C46" s="229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0">
        <f>IF(D46="",,VLOOKUP(D46,D$22:D39,1,0))</f>
        <v>0</v>
      </c>
      <c r="F46" s="235">
        <f t="shared" si="0"/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2"/>
      <c r="M46" s="232"/>
      <c r="N46" s="232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 t="shared" si="1"/>
      </c>
      <c r="R46" s="221">
        <f t="shared" si="2"/>
      </c>
      <c r="S46" s="221">
        <f t="shared" si="3"/>
        <v>0</v>
      </c>
      <c r="T46" s="221">
        <f t="shared" si="4"/>
        <v>0</v>
      </c>
      <c r="U46" s="233">
        <f t="shared" si="5"/>
        <v>0</v>
      </c>
      <c r="V46" s="222">
        <f t="shared" si="6"/>
      </c>
      <c r="W46" s="223" t="s">
        <v>55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 t="shared" si="7"/>
      </c>
    </row>
    <row r="47" spans="1:54" ht="12.75">
      <c r="A47" s="227" t="s">
        <v>55</v>
      </c>
      <c r="B47" s="228"/>
      <c r="C47" s="229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5">
        <f t="shared" si="0"/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2"/>
      <c r="M47" s="232"/>
      <c r="N47" s="232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 t="shared" si="1"/>
      </c>
      <c r="R47" s="221">
        <f t="shared" si="2"/>
      </c>
      <c r="S47" s="221">
        <f t="shared" si="3"/>
        <v>0</v>
      </c>
      <c r="T47" s="221">
        <f t="shared" si="4"/>
        <v>0</v>
      </c>
      <c r="U47" s="233">
        <f t="shared" si="5"/>
        <v>0</v>
      </c>
      <c r="V47" s="222">
        <f t="shared" si="6"/>
      </c>
      <c r="W47" s="223" t="s">
        <v>55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 t="shared" si="7"/>
      </c>
    </row>
    <row r="48" spans="1:54" ht="12.75">
      <c r="A48" s="227" t="s">
        <v>55</v>
      </c>
      <c r="B48" s="228"/>
      <c r="C48" s="229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5">
        <f t="shared" si="0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2"/>
      <c r="M48" s="232"/>
      <c r="N48" s="232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 t="shared" si="1"/>
      </c>
      <c r="R48" s="221">
        <f t="shared" si="2"/>
      </c>
      <c r="S48" s="221">
        <f t="shared" si="3"/>
        <v>0</v>
      </c>
      <c r="T48" s="221">
        <f t="shared" si="4"/>
        <v>0</v>
      </c>
      <c r="U48" s="233">
        <f t="shared" si="5"/>
        <v>0</v>
      </c>
      <c r="V48" s="222">
        <f t="shared" si="6"/>
      </c>
      <c r="W48" s="223" t="s">
        <v>55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 t="shared" si="7"/>
      </c>
    </row>
    <row r="49" spans="1:54" ht="12.75">
      <c r="A49" s="227" t="s">
        <v>55</v>
      </c>
      <c r="B49" s="228"/>
      <c r="C49" s="229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5">
        <f t="shared" si="0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 t="shared" si="1"/>
      </c>
      <c r="R49" s="221">
        <f t="shared" si="2"/>
      </c>
      <c r="S49" s="221">
        <f t="shared" si="3"/>
        <v>0</v>
      </c>
      <c r="T49" s="221">
        <f t="shared" si="4"/>
        <v>0</v>
      </c>
      <c r="U49" s="233">
        <f t="shared" si="5"/>
        <v>0</v>
      </c>
      <c r="V49" s="222">
        <f t="shared" si="6"/>
      </c>
      <c r="W49" s="223" t="s">
        <v>55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 t="shared" si="7"/>
      </c>
    </row>
    <row r="50" spans="1:54" ht="12.75">
      <c r="A50" s="227" t="s">
        <v>55</v>
      </c>
      <c r="B50" s="228"/>
      <c r="C50" s="229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5">
        <f t="shared" si="0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 t="shared" si="1"/>
      </c>
      <c r="R50" s="221">
        <f t="shared" si="2"/>
      </c>
      <c r="S50" s="221">
        <f t="shared" si="3"/>
        <v>0</v>
      </c>
      <c r="T50" s="221">
        <f t="shared" si="4"/>
        <v>0</v>
      </c>
      <c r="U50" s="233">
        <f t="shared" si="5"/>
        <v>0</v>
      </c>
      <c r="V50" s="222">
        <f t="shared" si="6"/>
      </c>
      <c r="W50" s="223" t="s">
        <v>55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 t="shared" si="7"/>
      </c>
    </row>
    <row r="51" spans="1:54" ht="12.75">
      <c r="A51" s="227" t="s">
        <v>55</v>
      </c>
      <c r="B51" s="228"/>
      <c r="C51" s="229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5">
        <f t="shared" si="0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 t="shared" si="1"/>
      </c>
      <c r="R51" s="221">
        <f t="shared" si="2"/>
      </c>
      <c r="S51" s="221">
        <f t="shared" si="3"/>
        <v>0</v>
      </c>
      <c r="T51" s="221">
        <f t="shared" si="4"/>
        <v>0</v>
      </c>
      <c r="U51" s="233">
        <f t="shared" si="5"/>
        <v>0</v>
      </c>
      <c r="V51" s="222">
        <f t="shared" si="6"/>
      </c>
      <c r="W51" s="223" t="s">
        <v>55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 t="shared" si="7"/>
      </c>
    </row>
    <row r="52" spans="1:54" ht="12.75">
      <c r="A52" s="227" t="s">
        <v>55</v>
      </c>
      <c r="B52" s="228"/>
      <c r="C52" s="229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5">
        <f t="shared" si="0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 t="shared" si="1"/>
      </c>
      <c r="R52" s="221">
        <f t="shared" si="2"/>
      </c>
      <c r="S52" s="221">
        <f t="shared" si="3"/>
        <v>0</v>
      </c>
      <c r="T52" s="221">
        <f t="shared" si="4"/>
        <v>0</v>
      </c>
      <c r="U52" s="233">
        <f t="shared" si="5"/>
        <v>0</v>
      </c>
      <c r="V52" s="222">
        <f t="shared" si="6"/>
      </c>
      <c r="W52" s="223" t="s">
        <v>55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 t="shared" si="7"/>
      </c>
    </row>
    <row r="53" spans="1:54" ht="12.75">
      <c r="A53" s="227" t="s">
        <v>55</v>
      </c>
      <c r="B53" s="228"/>
      <c r="C53" s="229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5">
        <f t="shared" si="0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 t="shared" si="1"/>
      </c>
      <c r="R53" s="221">
        <f t="shared" si="2"/>
      </c>
      <c r="S53" s="221">
        <f t="shared" si="3"/>
        <v>0</v>
      </c>
      <c r="T53" s="221">
        <f t="shared" si="4"/>
        <v>0</v>
      </c>
      <c r="U53" s="233">
        <f t="shared" si="5"/>
        <v>0</v>
      </c>
      <c r="V53" s="222">
        <f t="shared" si="6"/>
      </c>
      <c r="W53" s="223" t="s">
        <v>55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 t="shared" si="7"/>
      </c>
    </row>
    <row r="54" spans="1:54" ht="12.75">
      <c r="A54" s="227" t="s">
        <v>55</v>
      </c>
      <c r="B54" s="228"/>
      <c r="C54" s="229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5">
        <f t="shared" si="0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 t="shared" si="1"/>
      </c>
      <c r="R54" s="221">
        <f t="shared" si="2"/>
      </c>
      <c r="S54" s="221">
        <f t="shared" si="3"/>
        <v>0</v>
      </c>
      <c r="T54" s="221">
        <f t="shared" si="4"/>
        <v>0</v>
      </c>
      <c r="U54" s="233">
        <f t="shared" si="5"/>
        <v>0</v>
      </c>
      <c r="V54" s="222">
        <f t="shared" si="6"/>
      </c>
      <c r="W54" s="223" t="s">
        <v>55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 t="shared" si="7"/>
      </c>
    </row>
    <row r="55" spans="1:54" ht="12.75">
      <c r="A55" s="227" t="s">
        <v>55</v>
      </c>
      <c r="B55" s="228"/>
      <c r="C55" s="229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5">
        <f t="shared" si="0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 t="shared" si="1"/>
      </c>
      <c r="R55" s="221">
        <f t="shared" si="2"/>
      </c>
      <c r="S55" s="221">
        <f t="shared" si="3"/>
        <v>0</v>
      </c>
      <c r="T55" s="221">
        <f t="shared" si="4"/>
        <v>0</v>
      </c>
      <c r="U55" s="233">
        <f t="shared" si="5"/>
        <v>0</v>
      </c>
      <c r="V55" s="222">
        <f t="shared" si="6"/>
      </c>
      <c r="W55" s="223" t="s">
        <v>55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 t="shared" si="7"/>
      </c>
    </row>
    <row r="56" spans="1:54" ht="12.75">
      <c r="A56" s="227" t="s">
        <v>55</v>
      </c>
      <c r="B56" s="228"/>
      <c r="C56" s="229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5">
        <f t="shared" si="0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 t="shared" si="1"/>
      </c>
      <c r="R56" s="221">
        <f t="shared" si="2"/>
      </c>
      <c r="S56" s="221">
        <f t="shared" si="3"/>
        <v>0</v>
      </c>
      <c r="T56" s="221">
        <f t="shared" si="4"/>
        <v>0</v>
      </c>
      <c r="U56" s="233">
        <f t="shared" si="5"/>
        <v>0</v>
      </c>
      <c r="V56" s="222">
        <f t="shared" si="6"/>
      </c>
      <c r="W56" s="223" t="s">
        <v>55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 t="shared" si="7"/>
      </c>
    </row>
    <row r="57" spans="1:54" ht="12.75">
      <c r="A57" s="227" t="s">
        <v>55</v>
      </c>
      <c r="B57" s="228"/>
      <c r="C57" s="229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5">
        <f t="shared" si="0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 t="shared" si="1"/>
      </c>
      <c r="R57" s="221">
        <f t="shared" si="2"/>
      </c>
      <c r="S57" s="221">
        <f t="shared" si="3"/>
        <v>0</v>
      </c>
      <c r="T57" s="221">
        <f t="shared" si="4"/>
        <v>0</v>
      </c>
      <c r="U57" s="233">
        <f t="shared" si="5"/>
        <v>0</v>
      </c>
      <c r="V57" s="222">
        <f t="shared" si="6"/>
      </c>
      <c r="W57" s="223" t="s">
        <v>55</v>
      </c>
      <c r="X57" s="236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 t="shared" si="7"/>
      </c>
    </row>
    <row r="58" spans="1:54" ht="12.75">
      <c r="A58" s="227" t="s">
        <v>55</v>
      </c>
      <c r="B58" s="228"/>
      <c r="C58" s="229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5">
        <f t="shared" si="0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 t="shared" si="1"/>
      </c>
      <c r="R58" s="221">
        <f t="shared" si="2"/>
      </c>
      <c r="S58" s="221">
        <f t="shared" si="3"/>
        <v>0</v>
      </c>
      <c r="T58" s="221">
        <f t="shared" si="4"/>
        <v>0</v>
      </c>
      <c r="U58" s="233">
        <f t="shared" si="5"/>
        <v>0</v>
      </c>
      <c r="V58" s="222">
        <f t="shared" si="6"/>
      </c>
      <c r="W58" s="223" t="s">
        <v>55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 t="shared" si="7"/>
      </c>
    </row>
    <row r="59" spans="1:54" ht="12.75">
      <c r="A59" s="227" t="s">
        <v>55</v>
      </c>
      <c r="B59" s="228"/>
      <c r="C59" s="229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5">
        <f t="shared" si="0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7"/>
      <c r="M59" s="237"/>
      <c r="N59" s="237"/>
      <c r="O59" s="219"/>
      <c r="P59" s="23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 t="shared" si="1"/>
      </c>
      <c r="R59" s="221">
        <f t="shared" si="2"/>
      </c>
      <c r="S59" s="221">
        <f t="shared" si="3"/>
        <v>0</v>
      </c>
      <c r="T59" s="221">
        <f t="shared" si="4"/>
        <v>0</v>
      </c>
      <c r="U59" s="233">
        <f t="shared" si="5"/>
        <v>0</v>
      </c>
      <c r="V59" s="222">
        <f t="shared" si="6"/>
      </c>
      <c r="W59" s="223" t="s">
        <v>55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 t="shared" si="7"/>
      </c>
    </row>
    <row r="60" spans="1:54" ht="12.75">
      <c r="A60" s="227" t="s">
        <v>55</v>
      </c>
      <c r="B60" s="228"/>
      <c r="C60" s="229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5">
        <f t="shared" si="0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7"/>
      <c r="M60" s="237"/>
      <c r="N60" s="237"/>
      <c r="O60" s="219"/>
      <c r="P60" s="23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 t="shared" si="1"/>
      </c>
      <c r="R60" s="221">
        <f t="shared" si="2"/>
      </c>
      <c r="S60" s="221">
        <f t="shared" si="3"/>
        <v>0</v>
      </c>
      <c r="T60" s="221">
        <f t="shared" si="4"/>
        <v>0</v>
      </c>
      <c r="U60" s="233">
        <f t="shared" si="5"/>
        <v>0</v>
      </c>
      <c r="V60" s="222">
        <f t="shared" si="6"/>
      </c>
      <c r="W60" s="223" t="s">
        <v>55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 t="shared" si="7"/>
      </c>
    </row>
    <row r="61" spans="1:54" ht="12.75">
      <c r="A61" s="227" t="s">
        <v>55</v>
      </c>
      <c r="B61" s="228"/>
      <c r="C61" s="229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5">
        <f t="shared" si="0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 t="shared" si="1"/>
      </c>
      <c r="R61" s="221">
        <f t="shared" si="2"/>
      </c>
      <c r="S61" s="221">
        <f t="shared" si="3"/>
        <v>0</v>
      </c>
      <c r="T61" s="221">
        <f t="shared" si="4"/>
        <v>0</v>
      </c>
      <c r="U61" s="233">
        <f t="shared" si="5"/>
        <v>0</v>
      </c>
      <c r="V61" s="222">
        <f t="shared" si="6"/>
      </c>
      <c r="W61" s="223" t="s">
        <v>55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 t="shared" si="7"/>
      </c>
    </row>
    <row r="62" spans="1:54" ht="12.75">
      <c r="A62" s="227" t="s">
        <v>55</v>
      </c>
      <c r="B62" s="228"/>
      <c r="C62" s="229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5">
        <f t="shared" si="0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 t="shared" si="1"/>
      </c>
      <c r="R62" s="221">
        <f t="shared" si="2"/>
      </c>
      <c r="S62" s="221">
        <f t="shared" si="3"/>
        <v>0</v>
      </c>
      <c r="T62" s="221">
        <f t="shared" si="4"/>
        <v>0</v>
      </c>
      <c r="U62" s="233">
        <f t="shared" si="5"/>
        <v>0</v>
      </c>
      <c r="V62" s="222">
        <f t="shared" si="6"/>
      </c>
      <c r="W62" s="223" t="s">
        <v>55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 t="shared" si="7"/>
      </c>
    </row>
    <row r="63" spans="1:54" ht="12.75" hidden="1">
      <c r="A63" s="227" t="s">
        <v>55</v>
      </c>
      <c r="B63" s="228"/>
      <c r="C63" s="229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5">
        <f t="shared" si="0"/>
        <v>0</v>
      </c>
      <c r="G63" s="23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t="shared" si="1"/>
      </c>
      <c r="R63" s="221">
        <f t="shared" si="2"/>
      </c>
      <c r="S63" s="221">
        <f t="shared" si="3"/>
        <v>0</v>
      </c>
      <c r="T63" s="221">
        <f t="shared" si="4"/>
        <v>0</v>
      </c>
      <c r="U63" s="233">
        <f t="shared" si="5"/>
        <v>0</v>
      </c>
      <c r="V63" s="222">
        <f t="shared" si="6"/>
      </c>
      <c r="W63" s="223" t="s">
        <v>55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t="shared" si="7"/>
      </c>
    </row>
    <row r="64" spans="1:54" ht="12.75" customHeight="1" hidden="1">
      <c r="A64" s="227" t="s">
        <v>55</v>
      </c>
      <c r="B64" s="228"/>
      <c r="C64" s="229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5">
        <f t="shared" si="0"/>
        <v>0</v>
      </c>
      <c r="G64" s="24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3">
        <f t="shared" si="5"/>
        <v>0</v>
      </c>
      <c r="V64" s="222">
        <f t="shared" si="6"/>
      </c>
      <c r="W64" s="223" t="s">
        <v>55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27" t="s">
        <v>55</v>
      </c>
      <c r="B65" s="228"/>
      <c r="C65" s="229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5">
        <f t="shared" si="0"/>
        <v>0</v>
      </c>
      <c r="G65" s="24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3">
        <f t="shared" si="5"/>
        <v>0</v>
      </c>
      <c r="V65" s="222">
        <f t="shared" si="6"/>
      </c>
      <c r="W65" s="223" t="s">
        <v>55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27" t="s">
        <v>55</v>
      </c>
      <c r="B66" s="228"/>
      <c r="C66" s="229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5">
        <f t="shared" si="0"/>
        <v>0</v>
      </c>
      <c r="G66" s="24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3">
        <f t="shared" si="5"/>
        <v>0</v>
      </c>
      <c r="V66" s="222">
        <f t="shared" si="6"/>
      </c>
      <c r="W66" s="223" t="s">
        <v>55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27" t="s">
        <v>55</v>
      </c>
      <c r="B67" s="228"/>
      <c r="C67" s="229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5">
        <f t="shared" si="0"/>
        <v>0</v>
      </c>
      <c r="G67" s="24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3">
        <f t="shared" si="5"/>
        <v>0</v>
      </c>
      <c r="V67" s="222">
        <f t="shared" si="6"/>
      </c>
      <c r="W67" s="223" t="s">
        <v>55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27" t="s">
        <v>55</v>
      </c>
      <c r="B68" s="228"/>
      <c r="C68" s="229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5">
        <f t="shared" si="0"/>
        <v>0</v>
      </c>
      <c r="G68" s="24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3">
        <f t="shared" si="5"/>
        <v>0</v>
      </c>
      <c r="V68" s="222">
        <f t="shared" si="6"/>
      </c>
      <c r="W68" s="223" t="s">
        <v>55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27" t="s">
        <v>55</v>
      </c>
      <c r="B69" s="228"/>
      <c r="C69" s="229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5">
        <f t="shared" si="0"/>
        <v>0</v>
      </c>
      <c r="G69" s="24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3">
        <f t="shared" si="5"/>
        <v>0</v>
      </c>
      <c r="V69" s="222">
        <f t="shared" si="6"/>
      </c>
      <c r="W69" s="223" t="s">
        <v>55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27" t="s">
        <v>55</v>
      </c>
      <c r="B70" s="228"/>
      <c r="C70" s="229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5">
        <f t="shared" si="0"/>
        <v>0</v>
      </c>
      <c r="G70" s="24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3">
        <f t="shared" si="5"/>
        <v>0</v>
      </c>
      <c r="V70" s="222">
        <f t="shared" si="6"/>
      </c>
      <c r="W70" s="223" t="s">
        <v>55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27" t="s">
        <v>55</v>
      </c>
      <c r="B71" s="228"/>
      <c r="C71" s="229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5">
        <f t="shared" si="0"/>
        <v>0</v>
      </c>
      <c r="G71" s="24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3">
        <f t="shared" si="5"/>
        <v>0</v>
      </c>
      <c r="V71" s="222">
        <f t="shared" si="6"/>
      </c>
      <c r="W71" s="223" t="s">
        <v>55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27" t="s">
        <v>55</v>
      </c>
      <c r="B72" s="228"/>
      <c r="C72" s="229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5">
        <f t="shared" si="0"/>
        <v>0</v>
      </c>
      <c r="G72" s="24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3">
        <f t="shared" si="5"/>
        <v>0</v>
      </c>
      <c r="V72" s="222">
        <f t="shared" si="6"/>
      </c>
      <c r="W72" s="223" t="s">
        <v>55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27" t="s">
        <v>55</v>
      </c>
      <c r="B73" s="228"/>
      <c r="C73" s="229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5">
        <f t="shared" si="0"/>
        <v>0</v>
      </c>
      <c r="G73" s="24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3">
        <f t="shared" si="5"/>
        <v>0</v>
      </c>
      <c r="V73" s="222">
        <f t="shared" si="6"/>
      </c>
      <c r="W73" s="223" t="s">
        <v>55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27" t="s">
        <v>55</v>
      </c>
      <c r="B74" s="228"/>
      <c r="C74" s="229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5">
        <f t="shared" si="0"/>
        <v>0</v>
      </c>
      <c r="G74" s="24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3">
        <f t="shared" si="5"/>
        <v>0</v>
      </c>
      <c r="V74" s="222">
        <f t="shared" si="6"/>
      </c>
      <c r="W74" s="223" t="s">
        <v>55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27" t="s">
        <v>55</v>
      </c>
      <c r="B75" s="228"/>
      <c r="C75" s="229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5">
        <f t="shared" si="0"/>
        <v>0</v>
      </c>
      <c r="G75" s="24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3">
        <f t="shared" si="5"/>
        <v>0</v>
      </c>
      <c r="V75" s="222">
        <f t="shared" si="6"/>
      </c>
      <c r="W75" s="223" t="s">
        <v>55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27" t="s">
        <v>55</v>
      </c>
      <c r="B76" s="228"/>
      <c r="C76" s="229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5">
        <f t="shared" si="0"/>
        <v>0</v>
      </c>
      <c r="G76" s="24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3">
        <f t="shared" si="5"/>
        <v>0</v>
      </c>
      <c r="V76" s="222">
        <f t="shared" si="6"/>
      </c>
      <c r="W76" s="223" t="s">
        <v>55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27" t="s">
        <v>55</v>
      </c>
      <c r="B77" s="228"/>
      <c r="C77" s="229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5">
        <f t="shared" si="0"/>
        <v>0</v>
      </c>
      <c r="G77" s="24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3">
        <f t="shared" si="5"/>
        <v>0</v>
      </c>
      <c r="V77" s="222">
        <f t="shared" si="6"/>
      </c>
      <c r="W77" s="223" t="s">
        <v>55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27" t="s">
        <v>55</v>
      </c>
      <c r="B78" s="228"/>
      <c r="C78" s="229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5">
        <f t="shared" si="0"/>
        <v>0</v>
      </c>
      <c r="G78" s="24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3">
        <f t="shared" si="5"/>
        <v>0</v>
      </c>
      <c r="V78" s="222">
        <f t="shared" si="6"/>
      </c>
      <c r="W78" s="223" t="s">
        <v>55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27" t="s">
        <v>55</v>
      </c>
      <c r="B79" s="228"/>
      <c r="C79" s="229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5">
        <f t="shared" si="0"/>
        <v>0</v>
      </c>
      <c r="G79" s="24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3">
        <f t="shared" si="5"/>
        <v>0</v>
      </c>
      <c r="V79" s="222">
        <f t="shared" si="6"/>
      </c>
      <c r="W79" s="223" t="s">
        <v>55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27" t="s">
        <v>55</v>
      </c>
      <c r="B80" s="228"/>
      <c r="C80" s="229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5">
        <f t="shared" si="0"/>
        <v>0</v>
      </c>
      <c r="G80" s="24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3">
        <f t="shared" si="5"/>
        <v>0</v>
      </c>
      <c r="V80" s="222">
        <f t="shared" si="6"/>
      </c>
      <c r="W80" s="223" t="s">
        <v>55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27" t="s">
        <v>55</v>
      </c>
      <c r="B81" s="228"/>
      <c r="C81" s="229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5">
        <f t="shared" si="0"/>
        <v>0</v>
      </c>
      <c r="G81" s="24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7"/>
      <c r="M81" s="237"/>
      <c r="N81" s="237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3">
        <f t="shared" si="5"/>
        <v>0</v>
      </c>
      <c r="V81" s="222">
        <f t="shared" si="6"/>
      </c>
      <c r="W81" s="223" t="s">
        <v>55</v>
      </c>
      <c r="X81" s="243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4" t="s">
        <v>55</v>
      </c>
      <c r="B82" s="245"/>
      <c r="C82" s="246"/>
      <c r="D82" s="24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8">
        <f>IF(D82="",,VLOOKUP(D82,D$20:D80,1,0))</f>
        <v>0</v>
      </c>
      <c r="F82" s="249">
        <f t="shared" si="0"/>
        <v>0</v>
      </c>
      <c r="G82" s="25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3"/>
      <c r="M82" s="253"/>
      <c r="N82" s="253"/>
      <c r="O82" s="254"/>
      <c r="P82" s="25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3">
        <f t="shared" si="5"/>
        <v>0</v>
      </c>
      <c r="V82" s="222">
        <f t="shared" si="6"/>
      </c>
      <c r="W82" s="256" t="s">
        <v>55</v>
      </c>
      <c r="X82" s="257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58" t="s">
        <v>80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1"/>
      <c r="N83" s="221"/>
      <c r="O83" s="221"/>
      <c r="P83" s="259"/>
      <c r="Q83" s="259"/>
      <c r="R83" s="259"/>
      <c r="S83" s="259"/>
      <c r="T83" s="8"/>
      <c r="U83" s="8"/>
      <c r="V83" s="259"/>
      <c r="W83" s="259"/>
      <c r="X83" s="259"/>
      <c r="Y83" s="260"/>
      <c r="Z83" s="260"/>
      <c r="AA83" s="261"/>
      <c r="AB83" s="262"/>
      <c r="AC83" s="262"/>
      <c r="AD83" s="262"/>
    </row>
    <row r="84" spans="1:30" ht="12.75" hidden="1">
      <c r="A84" s="263" t="str">
        <f>A3</f>
        <v>GIERS</v>
      </c>
      <c r="B84" s="264" t="str">
        <f>C3</f>
        <v>GIERS A GIVORS</v>
      </c>
      <c r="C84" s="265">
        <f>A4</f>
        <v>41820</v>
      </c>
      <c r="D84" s="266">
        <f>IF(ISERROR(SUM($T$23:$T$82)/SUM($U$23:$U$82)),"",SUM($T$23:$T$82)/SUM($U$23:$U$82))</f>
        <v>7.6</v>
      </c>
      <c r="E84" s="267">
        <f>N13</f>
        <v>2</v>
      </c>
      <c r="F84" s="264">
        <f>N14</f>
        <v>2</v>
      </c>
      <c r="G84" s="264">
        <f>N15</f>
        <v>2</v>
      </c>
      <c r="H84" s="264">
        <f>N16</f>
        <v>0</v>
      </c>
      <c r="I84" s="264">
        <f>N17</f>
        <v>0</v>
      </c>
      <c r="J84" s="268">
        <f>N8</f>
        <v>8</v>
      </c>
      <c r="K84" s="266">
        <f>N9</f>
        <v>2</v>
      </c>
      <c r="L84" s="267">
        <f>N10</f>
        <v>6</v>
      </c>
      <c r="M84" s="267">
        <f>N11</f>
        <v>10</v>
      </c>
      <c r="N84" s="266">
        <f>O8</f>
        <v>1</v>
      </c>
      <c r="O84" s="266">
        <f>O9</f>
        <v>0</v>
      </c>
      <c r="P84" s="267">
        <f>O10</f>
        <v>1</v>
      </c>
      <c r="Q84" s="267">
        <f>O11</f>
        <v>1</v>
      </c>
      <c r="R84" s="267">
        <f>F21</f>
        <v>1.8099999999999998</v>
      </c>
      <c r="S84" s="267">
        <f>K11</f>
        <v>0</v>
      </c>
      <c r="T84" s="267">
        <f>K12</f>
        <v>2</v>
      </c>
      <c r="U84" s="267">
        <f>K13</f>
        <v>0</v>
      </c>
      <c r="V84" s="269">
        <f>K14</f>
        <v>0</v>
      </c>
      <c r="W84" s="270">
        <f>K15</f>
        <v>0</v>
      </c>
      <c r="Z84" s="271"/>
      <c r="AA84" s="271"/>
      <c r="AB84" s="262"/>
      <c r="AC84" s="262"/>
      <c r="AD84" s="26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2" t="s">
        <v>81</v>
      </c>
      <c r="R86" s="8"/>
      <c r="S86" s="222"/>
      <c r="T86" s="8"/>
      <c r="U86" s="8"/>
      <c r="V86" s="8"/>
    </row>
    <row r="87" spans="16:22" ht="12.75" hidden="1">
      <c r="P87" s="8"/>
      <c r="Q87" s="8" t="s">
        <v>82</v>
      </c>
      <c r="R87" s="8"/>
      <c r="S87" s="222">
        <f>VLOOKUP(MAX($S$23:$S$82),($S$23:$U$82),1,0)</f>
        <v>20</v>
      </c>
      <c r="T87" s="8"/>
      <c r="U87" s="8"/>
      <c r="V87" s="8"/>
    </row>
    <row r="88" spans="16:22" ht="12.75" hidden="1">
      <c r="P88" s="8"/>
      <c r="Q88" s="8" t="s">
        <v>83</v>
      </c>
      <c r="R88" s="8"/>
      <c r="S88" s="222">
        <f>VLOOKUP((S87),($S$23:$U$82),2,0)</f>
        <v>20</v>
      </c>
      <c r="T88" s="8"/>
      <c r="U88" s="8"/>
      <c r="V88" s="8"/>
    </row>
    <row r="89" spans="17:20" ht="12.75" hidden="1">
      <c r="Q89" s="8" t="s">
        <v>84</v>
      </c>
      <c r="R89" s="8"/>
      <c r="S89" s="222">
        <f>VLOOKUP((S87),($S$23:$U$82),3,0)</f>
        <v>2</v>
      </c>
      <c r="T89" s="8"/>
    </row>
    <row r="90" spans="17:20" ht="12.75">
      <c r="Q90" s="8" t="s">
        <v>85</v>
      </c>
      <c r="R90" s="8"/>
      <c r="S90" s="273">
        <f>IF(ISERROR(SUM($T$23:$T$82)/SUM($U$23:$U$82)),"",(SUM($T$23:$T$82)-S88)/(SUM($U$23:$U$82)-S89))</f>
        <v>6</v>
      </c>
      <c r="T90" s="8"/>
    </row>
    <row r="91" spans="17:21" ht="12.75">
      <c r="Q91" s="221" t="s">
        <v>86</v>
      </c>
      <c r="R91" s="221"/>
      <c r="S91" s="221" t="str">
        <f>INDEX('[1]liste reference'!$A$8:$A$904,$T$91)</f>
        <v>MELSPX</v>
      </c>
      <c r="T91" s="8">
        <f>IF(ISERROR(MATCH($S$93,'[1]liste reference'!$A$8:$A$904,0)),MATCH($S$93,'[1]liste reference'!$B$8:$B$904,0),(MATCH($S$93,'[1]liste reference'!$A$8:$A$904,0)))</f>
        <v>36</v>
      </c>
      <c r="U91" s="262"/>
    </row>
    <row r="92" spans="17:20" ht="12.75">
      <c r="Q92" s="8" t="s">
        <v>87</v>
      </c>
      <c r="R92" s="8"/>
      <c r="S92" s="8">
        <f>MATCH(S87,$S$23:$S$82,0)</f>
        <v>2</v>
      </c>
      <c r="T92" s="8"/>
    </row>
    <row r="93" spans="17:20" ht="12.75">
      <c r="Q93" s="221" t="s">
        <v>88</v>
      </c>
      <c r="R93" s="8"/>
      <c r="S93" s="221" t="str">
        <f>INDEX($A$23:$A$82,$S$92)</f>
        <v>MELSPX</v>
      </c>
      <c r="T93" s="8"/>
    </row>
    <row r="94" ht="12.75">
      <c r="S94" s="262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2015-02-02T14:37:11Z</dcterms:created>
  <dcterms:modified xsi:type="dcterms:W3CDTF">2015-02-02T14:37:20Z</dcterms:modified>
  <cp:category/>
  <cp:version/>
  <cp:contentType/>
  <cp:contentStatus/>
</cp:coreProperties>
</file>