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<sst xmlns="http://schemas.openxmlformats.org/spreadsheetml/2006/main" count="218" uniqueCount="96">
  <si>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</si>
  <si>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</si>
  <si>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</si>
  <si>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</si>
  <si>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</si>
  <si>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DOUX</t>
  </si>
  <si>
    <t>Doux à Labathie d'Andaure</t>
  </si>
  <si>
    <t>06105568</t>
  </si>
  <si>
    <t xml:space="preserve">AERMC 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</si>
  <si>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</si>
  <si>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</si>
  <si>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</si>
  <si>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</si>
  <si>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</si>
  <si>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</si>
  <si>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</si>
  <si>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</si>
  <si>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</si>
  <si>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</si>
  <si>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</si>
  <si>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</si>
  <si>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</si>
  <si>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</si>
  <si>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</si>
  <si>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</si>
  <si>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</si>
  <si>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</si>
  <si>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</si>
  <si>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</si>
  <si>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</si>
  <si>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</si>
  <si>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</si>
  <si>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</si>
  <si>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</si>
  <si>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</si>
  <si>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</si>
  <si>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</si>
  <si>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</si>
  <si>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</si>
  <si>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</si>
  <si>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</si>
  <si>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</si>
  <si>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</si>
  <si>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</si>
  <si>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</si>
  <si>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</si>
  <si>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</si>
  <si>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</si>
  <si>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</si>
  <si>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</si>
  <si>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</si>
  <si>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</si>
  <si>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</si>
  <si>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</si>
  <si>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</si>
  <si>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</si>
  <si>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</si>
  <si>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</si>
  <si>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</si>
  <si>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</si>
  <si>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</si>
  <si>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</si>
  <si>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</si>
  <si>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</si>
  <si>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</si>
  <si>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</si>
  <si>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</si>
  <si>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</si>
  <si>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</si>
  <si>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</si>
  <si>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</si>
  <si>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</si>
  <si>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</si>
  <si>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</si>
  <si>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</si>
  <si>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</si>
  <si>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</si>
  <si>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</si>
  <si>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AUDSPX</t>
  </si>
  <si>
    <t>LEASPX</t>
  </si>
  <si>
    <t>SPISPX</t>
  </si>
  <si>
    <t>AMBFLU</t>
  </si>
  <si>
    <t>BRYSPX</t>
  </si>
  <si>
    <t>FONANT</t>
  </si>
  <si>
    <t>PHAARU</t>
  </si>
  <si>
    <t>newcod</t>
  </si>
  <si>
    <t>Encyonema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</si>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</sst>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i/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medium">
        <color indexed="10"/>
      </right>
      <top style="thin"/>
      <bottom style="thin"/>
    </border>
    <border>
      <left/>
      <right style="medium"/>
      <top style="thin"/>
      <bottom style="thin"/>
    </border>
    <border>
      <left style="medium">
        <color indexed="10"/>
      </left>
      <right/>
      <top style="thin"/>
      <bottom style="thin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8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28" fillId="39" borderId="10" xfId="50" applyFont="1" applyFill="1" applyBorder="1" applyAlignment="1" applyProtection="1">
      <alignment horizontal="right"/>
      <protection locked="0"/>
    </xf>
    <xf numFmtId="2" fontId="28" fillId="38" borderId="68" xfId="0" applyNumberFormat="1" applyFont="1" applyFill="1" applyBorder="1" applyAlignment="1" applyProtection="1">
      <alignment horizontal="center"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10" xfId="0" applyNumberFormat="1" applyFont="1" applyFill="1" applyBorder="1" applyAlignment="1" applyProtection="1">
      <alignment/>
      <protection locked="0"/>
    </xf>
    <xf numFmtId="2" fontId="0" fillId="37" borderId="68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0" fontId="30" fillId="43" borderId="10" xfId="50" applyFont="1" applyFill="1" applyBorder="1" applyAlignment="1" applyProtection="1">
      <alignment horizontal="right"/>
      <protection locked="0"/>
    </xf>
    <xf numFmtId="1" fontId="27" fillId="0" borderId="0" xfId="0" applyNumberFormat="1" applyFont="1" applyAlignment="1" applyProtection="1">
      <alignment/>
      <protection hidden="1"/>
    </xf>
    <xf numFmtId="0" fontId="28" fillId="42" borderId="10" xfId="50" applyFont="1" applyFill="1" applyBorder="1" applyAlignment="1" applyProtection="1">
      <alignment horizontal="right"/>
      <protection locked="0"/>
    </xf>
    <xf numFmtId="0" fontId="28" fillId="38" borderId="74" xfId="0" applyFont="1" applyFill="1" applyBorder="1" applyAlignment="1" applyProtection="1">
      <alignment horizontal="right" wrapText="1"/>
      <protection locked="0"/>
    </xf>
    <xf numFmtId="2" fontId="28" fillId="38" borderId="75" xfId="0" applyNumberFormat="1" applyFont="1" applyFill="1" applyBorder="1" applyAlignment="1" applyProtection="1">
      <alignment horizontal="center"/>
      <protection locked="0"/>
    </xf>
    <xf numFmtId="0" fontId="28" fillId="38" borderId="76" xfId="0" applyFont="1" applyFill="1" applyBorder="1" applyAlignment="1" applyProtection="1">
      <alignment horizontal="right"/>
      <protection locked="0"/>
    </xf>
    <xf numFmtId="0" fontId="30" fillId="43" borderId="50" xfId="50" applyFont="1" applyFill="1" applyBorder="1" applyAlignment="1" applyProtection="1">
      <alignment horizontal="right"/>
      <protection locked="0"/>
    </xf>
    <xf numFmtId="2" fontId="28" fillId="38" borderId="72" xfId="0" applyNumberFormat="1" applyFont="1" applyFill="1" applyBorder="1" applyAlignment="1" applyProtection="1">
      <alignment horizontal="center"/>
      <protection locked="0"/>
    </xf>
    <xf numFmtId="2" fontId="28" fillId="38" borderId="52" xfId="0" applyNumberFormat="1" applyFont="1" applyFill="1" applyBorder="1" applyAlignment="1" applyProtection="1">
      <alignment horizontal="center"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40" borderId="77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8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9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80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81" xfId="0" applyFill="1" applyBorder="1" applyAlignment="1" applyProtection="1">
      <alignment/>
      <protection hidden="1"/>
    </xf>
    <xf numFmtId="0" fontId="0" fillId="38" borderId="81" xfId="0" applyFill="1" applyBorder="1" applyAlignment="1">
      <alignment/>
    </xf>
    <xf numFmtId="0" fontId="26" fillId="38" borderId="79" xfId="0" applyFont="1" applyFill="1" applyBorder="1" applyAlignment="1" applyProtection="1">
      <alignment horizontal="right"/>
      <protection hidden="1"/>
    </xf>
    <xf numFmtId="0" fontId="26" fillId="38" borderId="79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3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4" xfId="0" applyNumberFormat="1" applyFont="1" applyFill="1" applyBorder="1" applyAlignment="1" applyProtection="1">
      <alignment horizontal="center"/>
      <protection hidden="1"/>
    </xf>
    <xf numFmtId="1" fontId="0" fillId="39" borderId="85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100965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410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OULA_18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12.428571428571429</v>
      </c>
      <c r="M5" s="52"/>
      <c r="N5" s="53" t="s">
        <v>16</v>
      </c>
      <c r="O5" s="54">
        <v>12.545454545454545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78" t="s">
        <v>22</v>
      </c>
      <c r="O6" s="278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9" t="s">
        <v>26</v>
      </c>
      <c r="B8" s="280"/>
      <c r="C8" s="280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11.571428571428571</v>
      </c>
      <c r="O8" s="81">
        <f>IF(ISERROR(AVERAGE(J23:J82)),"      -",AVERAGE(J23:J82))</f>
        <v>1.4285714285714286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3.09</v>
      </c>
      <c r="C9" s="84">
        <v>0.1</v>
      </c>
      <c r="D9" s="85"/>
      <c r="E9" s="85"/>
      <c r="F9" s="86">
        <f aca="true" t="shared" si="0" ref="F9:F15">($B9*$B$7+$C9*$C$7)/100</f>
        <v>2.7909999999999995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1.7612611437054218</v>
      </c>
      <c r="O9" s="81">
        <f>IF(ISERROR(STDEVP(J23:J82)),"      -",STDEVP(J23:J82))</f>
        <v>0.4948716593053935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81" t="s">
        <v>35</v>
      </c>
      <c r="J11" s="282"/>
      <c r="K11" s="111">
        <f>COUNTIF($G$23:$G$82,"=HET")</f>
        <v>0</v>
      </c>
      <c r="L11" s="112"/>
      <c r="M11" s="102" t="s">
        <v>36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1.04</v>
      </c>
      <c r="C12" s="115"/>
      <c r="D12" s="108"/>
      <c r="E12" s="108"/>
      <c r="F12" s="109">
        <f t="shared" si="0"/>
        <v>0.936</v>
      </c>
      <c r="G12" s="116"/>
      <c r="H12" s="66"/>
      <c r="I12" s="283" t="s">
        <v>38</v>
      </c>
      <c r="J12" s="274"/>
      <c r="K12" s="111">
        <f>COUNTIF($G$23:$G$82,"=ALG")</f>
        <v>3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2.05</v>
      </c>
      <c r="C13" s="115"/>
      <c r="D13" s="108"/>
      <c r="E13" s="108"/>
      <c r="F13" s="109">
        <f t="shared" si="0"/>
        <v>1.8449999999999998</v>
      </c>
      <c r="G13" s="116"/>
      <c r="H13" s="66"/>
      <c r="I13" s="273" t="s">
        <v>40</v>
      </c>
      <c r="J13" s="274"/>
      <c r="K13" s="111">
        <f>COUNTIF($G$23:$G$82,"=BRm")+COUNTIF($G$23:$G$82,"=BRh")</f>
        <v>4</v>
      </c>
      <c r="L13" s="112"/>
      <c r="M13" s="122" t="s">
        <v>41</v>
      </c>
      <c r="N13" s="123">
        <f>COUNTIF(F23:F82,"&gt;0")</f>
        <v>9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73" t="s">
        <v>43</v>
      </c>
      <c r="J14" s="274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7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/>
      <c r="C15" s="131">
        <v>0.1</v>
      </c>
      <c r="D15" s="108"/>
      <c r="E15" s="108"/>
      <c r="F15" s="109">
        <f t="shared" si="0"/>
        <v>0.01</v>
      </c>
      <c r="G15" s="116"/>
      <c r="H15" s="66"/>
      <c r="I15" s="273" t="s">
        <v>46</v>
      </c>
      <c r="J15" s="274"/>
      <c r="K15" s="111">
        <f>(COUNTIF($G$23:$G$82,"=PHy"))+(COUNTIF($G$23:$G$82,"=PHe"))+(COUNTIF($G$23:$G$82,"=PHg"))+(COUNTIF($G$23:$G$82,"=PHx"))</f>
        <v>1</v>
      </c>
      <c r="L15" s="112"/>
      <c r="M15" s="132" t="s">
        <v>47</v>
      </c>
      <c r="N15" s="133">
        <f>COUNTIF(J23:J82,"=1")</f>
        <v>4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3.09</v>
      </c>
      <c r="C17" s="115"/>
      <c r="D17" s="108"/>
      <c r="E17" s="108"/>
      <c r="F17" s="139"/>
      <c r="G17" s="109">
        <f>($B17*$B$7+$C17*$C$7)/100</f>
        <v>2.7809999999999997</v>
      </c>
      <c r="H17" s="66"/>
      <c r="I17" s="273"/>
      <c r="J17" s="274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>
        <v>0.1</v>
      </c>
      <c r="D18" s="108"/>
      <c r="E18" s="144" t="s">
        <v>53</v>
      </c>
      <c r="F18" s="139"/>
      <c r="G18" s="109">
        <f>($B18*$B$7+$C18*$C$7)/100</f>
        <v>0.01</v>
      </c>
      <c r="H18" s="66"/>
      <c r="I18" s="273"/>
      <c r="J18" s="274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2.7909999999999995</v>
      </c>
      <c r="G19" s="153">
        <f>SUM(G16:G18)</f>
        <v>2.7909999999999995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3.09</v>
      </c>
      <c r="C20" s="163">
        <f>SUM(C23:C82)</f>
        <v>0.1</v>
      </c>
      <c r="D20" s="164"/>
      <c r="E20" s="165" t="s">
        <v>53</v>
      </c>
      <c r="F20" s="166">
        <f>($B20*$B$7+$C20*$C$7)/100</f>
        <v>2.7909999999999995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2.7809999999999997</v>
      </c>
      <c r="C21" s="176">
        <f>C20*C7/100</f>
        <v>0.01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2.7909999999999995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75" t="s">
        <v>65</v>
      </c>
      <c r="L22" s="275"/>
      <c r="M22" s="275"/>
      <c r="N22" s="275"/>
      <c r="O22" s="276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5">
      <c r="A23" s="200" t="s">
        <v>78</v>
      </c>
      <c r="B23" s="201">
        <v>0.02</v>
      </c>
      <c r="C23" s="201">
        <v>0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Audouinella sp.</v>
      </c>
      <c r="E23" s="202" t="e">
        <f>IF(D23="",,VLOOKUP(D23,D$22:D22,1,0))</f>
        <v>#N/A</v>
      </c>
      <c r="F23" s="203">
        <f aca="true" t="shared" si="1" ref="F23:F62">($B23*$B$7+$C23*$C$7)/100</f>
        <v>0.018000000000000002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Audouinella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6076</v>
      </c>
      <c r="Q23" s="210">
        <f aca="true" t="shared" si="2" ref="Q23:Q62">IF(ISTEXT(H23),"",(B23*$B$7/100)+(C23*$C$7/100))</f>
        <v>0.018000000000000002</v>
      </c>
      <c r="R23" s="211">
        <f aca="true" t="shared" si="3" ref="R23:R62">IF(OR(ISTEXT(H23),Q23=0),"",IF(Q23&lt;0.1,1,IF(Q23&lt;1,2,IF(Q23&lt;10,3,IF(Q23&lt;50,4,IF(Q23&gt;=50,5,""))))))</f>
        <v>1</v>
      </c>
      <c r="S23" s="211">
        <f aca="true" t="shared" si="4" ref="S23:S62">IF(ISERROR(R23*I23),0,R23*I23)</f>
        <v>13</v>
      </c>
      <c r="T23" s="211">
        <f aca="true" t="shared" si="5" ref="T23:T62">IF(ISERROR(R23*I23*J23),0,R23*I23*J23)</f>
        <v>26</v>
      </c>
      <c r="U23" s="211">
        <f aca="true" t="shared" si="6" ref="U23:U62">IF(ISERROR(R23*J23),0,R23*J23)</f>
        <v>2</v>
      </c>
      <c r="V23" s="212">
        <f aca="true" t="shared" si="7" ref="V23:V62">IF(AND(A23="",F23=0),"",IF(F23=0,"Il manque le(s) % de rec. !",""))</f>
      </c>
      <c r="W23" s="213" t="s">
        <v>54</v>
      </c>
      <c r="Y23" s="214" t="str">
        <f>IF(A23="new.cod","NEWCOD",IF(AND((Z23=""),ISTEXT(A23)),A23,IF(Z23="","",INDEX('[1]liste reference'!$A$8:$A$904,Z23))))</f>
        <v>AUDSPX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</v>
      </c>
      <c r="AA23" s="215"/>
      <c r="AB23" s="216"/>
      <c r="AC23" s="216"/>
      <c r="BB23" s="8">
        <f aca="true" t="shared" si="8" ref="BB23:BB62">IF(A23="","",1)</f>
        <v>1</v>
      </c>
    </row>
    <row r="24" spans="1:54" ht="15" customHeight="1">
      <c r="A24" s="217" t="s">
        <v>79</v>
      </c>
      <c r="B24" s="218">
        <v>1</v>
      </c>
      <c r="C24" s="218"/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19" t="e">
        <f>IF(D24="",,VLOOKUP(D24,D$22:D23,1,0))</f>
        <v>#N/A</v>
      </c>
      <c r="F24" s="220">
        <f t="shared" si="1"/>
        <v>0.9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21"/>
      <c r="M24" s="221"/>
      <c r="N24" s="221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10">
        <f t="shared" si="2"/>
        <v>0.9</v>
      </c>
      <c r="R24" s="211">
        <f t="shared" si="3"/>
        <v>2</v>
      </c>
      <c r="S24" s="211">
        <f t="shared" si="4"/>
        <v>30</v>
      </c>
      <c r="T24" s="211">
        <f t="shared" si="5"/>
        <v>60</v>
      </c>
      <c r="U24" s="222">
        <f t="shared" si="6"/>
        <v>4</v>
      </c>
      <c r="V24" s="212">
        <f t="shared" si="7"/>
      </c>
      <c r="W24" s="213" t="s">
        <v>54</v>
      </c>
      <c r="Y24" s="214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15"/>
      <c r="AB24" s="216"/>
      <c r="AC24" s="216"/>
      <c r="BB24" s="8">
        <f t="shared" si="8"/>
        <v>1</v>
      </c>
    </row>
    <row r="25" spans="1:54" ht="15">
      <c r="A25" s="200" t="s">
        <v>80</v>
      </c>
      <c r="B25" s="201">
        <v>0.01</v>
      </c>
      <c r="C25" s="201">
        <v>0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Spirogyra sp.</v>
      </c>
      <c r="E25" s="219" t="e">
        <f>IF(D25="",,VLOOKUP(D25,D$22:D24,1,0))</f>
        <v>#N/A</v>
      </c>
      <c r="F25" s="220">
        <f t="shared" si="1"/>
        <v>0.009000000000000001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Spirogyra sp.</v>
      </c>
      <c r="L25" s="221"/>
      <c r="M25" s="221"/>
      <c r="N25" s="221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1147</v>
      </c>
      <c r="Q25" s="210">
        <f t="shared" si="2"/>
        <v>0.009000000000000001</v>
      </c>
      <c r="R25" s="211">
        <f t="shared" si="3"/>
        <v>1</v>
      </c>
      <c r="S25" s="211">
        <f t="shared" si="4"/>
        <v>10</v>
      </c>
      <c r="T25" s="211">
        <f t="shared" si="5"/>
        <v>10</v>
      </c>
      <c r="U25" s="222">
        <f t="shared" si="6"/>
        <v>1</v>
      </c>
      <c r="V25" s="212">
        <f t="shared" si="7"/>
      </c>
      <c r="W25" s="213" t="s">
        <v>54</v>
      </c>
      <c r="Y25" s="214" t="str">
        <f>IF(A25="new.cod","NEWCOD",IF(AND((Z25=""),ISTEXT(A25)),A25,IF(Z25="","",INDEX('[1]liste reference'!$A$8:$A$904,Z25))))</f>
        <v>SPISPX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69</v>
      </c>
      <c r="AA25" s="215"/>
      <c r="AB25" s="216"/>
      <c r="AC25" s="216"/>
      <c r="BB25" s="8">
        <f t="shared" si="8"/>
        <v>1</v>
      </c>
    </row>
    <row r="26" spans="1:54" ht="15">
      <c r="A26" s="223" t="s">
        <v>81</v>
      </c>
      <c r="B26" s="201">
        <v>0.01</v>
      </c>
      <c r="C26" s="201">
        <v>0</v>
      </c>
      <c r="D26" s="202" t="str">
        <f>IF(ISERROR(VLOOKUP($A26,'[1]liste reference'!$A$7:$D$904,2,0)),IF(ISERROR(VLOOKUP($A26,'[1]liste reference'!$B$7:$D$904,1,0)),"",VLOOKUP($A26,'[1]liste reference'!$B$7:$D$904,1,0)),VLOOKUP($A26,'[1]liste reference'!$A$7:$D$904,2,0))</f>
        <v>Amblystegium fluviatile</v>
      </c>
      <c r="E26" s="219" t="e">
        <f>IF(D26="",,VLOOKUP(D26,D$22:D25,1,0))</f>
        <v>#N/A</v>
      </c>
      <c r="F26" s="220">
        <f t="shared" si="1"/>
        <v>0.009000000000000001</v>
      </c>
      <c r="G26" s="20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11</v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Amblystegium fluviatile</v>
      </c>
      <c r="L26" s="221"/>
      <c r="M26" s="221"/>
      <c r="N26" s="221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1223</v>
      </c>
      <c r="Q26" s="210">
        <f t="shared" si="2"/>
        <v>0.009000000000000001</v>
      </c>
      <c r="R26" s="211">
        <f t="shared" si="3"/>
        <v>1</v>
      </c>
      <c r="S26" s="211">
        <f t="shared" si="4"/>
        <v>11</v>
      </c>
      <c r="T26" s="211">
        <f t="shared" si="5"/>
        <v>22</v>
      </c>
      <c r="U26" s="222">
        <f t="shared" si="6"/>
        <v>2</v>
      </c>
      <c r="V26" s="212">
        <f t="shared" si="7"/>
      </c>
      <c r="W26" s="213" t="s">
        <v>54</v>
      </c>
      <c r="Y26" s="214" t="str">
        <f>IF(A26="new.cod","NEWCOD",IF(AND((Z26=""),ISTEXT(A26)),A26,IF(Z26="","",INDEX('[1]liste reference'!$A$8:$A$904,Z26))))</f>
        <v>AMBFLU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147</v>
      </c>
      <c r="AA26" s="215"/>
      <c r="AB26" s="216"/>
      <c r="AC26" s="216"/>
      <c r="BB26" s="8">
        <f t="shared" si="8"/>
        <v>1</v>
      </c>
    </row>
    <row r="27" spans="1:54" ht="15">
      <c r="A27" s="223" t="s">
        <v>82</v>
      </c>
      <c r="B27" s="201">
        <v>0.01</v>
      </c>
      <c r="C27" s="201">
        <v>0</v>
      </c>
      <c r="D27" s="202" t="str">
        <f>IF(ISERROR(VLOOKUP($A27,'[1]liste reference'!$A$7:$D$904,2,0)),IF(ISERROR(VLOOKUP($A27,'[1]liste reference'!$B$7:$D$904,1,0)),"",VLOOKUP($A27,'[1]liste reference'!$B$7:$D$904,1,0)),VLOOKUP($A27,'[1]liste reference'!$A$7:$D$904,2,0))</f>
        <v>Bryum sp.</v>
      </c>
      <c r="E27" s="219" t="e">
        <f>IF(D27="",,VLOOKUP(D27,D$22:D26,1,0))</f>
        <v>#N/A</v>
      </c>
      <c r="F27" s="220">
        <f t="shared" si="1"/>
        <v>0.009000000000000001</v>
      </c>
      <c r="G27" s="20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Bryum sp.</v>
      </c>
      <c r="L27" s="221"/>
      <c r="M27" s="221"/>
      <c r="N27" s="221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1272</v>
      </c>
      <c r="Q27" s="210">
        <f t="shared" si="2"/>
        <v>0.009000000000000001</v>
      </c>
      <c r="R27" s="211">
        <f t="shared" si="3"/>
        <v>1</v>
      </c>
      <c r="S27" s="211">
        <f t="shared" si="4"/>
        <v>0</v>
      </c>
      <c r="T27" s="211">
        <f t="shared" si="5"/>
        <v>0</v>
      </c>
      <c r="U27" s="222">
        <f t="shared" si="6"/>
        <v>0</v>
      </c>
      <c r="V27" s="212">
        <f t="shared" si="7"/>
      </c>
      <c r="W27" s="224" t="s">
        <v>54</v>
      </c>
      <c r="Y27" s="214" t="str">
        <f>IF(A27="new.cod","NEWCOD",IF(AND((Z27=""),ISTEXT(A27)),A27,IF(Z27="","",INDEX('[1]liste reference'!$A$8:$A$904,Z27))))</f>
        <v>BRYSPX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162</v>
      </c>
      <c r="AA27" s="215"/>
      <c r="AB27" s="216"/>
      <c r="AC27" s="216"/>
      <c r="BB27" s="8">
        <f t="shared" si="8"/>
        <v>1</v>
      </c>
    </row>
    <row r="28" spans="1:54" ht="15">
      <c r="A28" s="223" t="s">
        <v>83</v>
      </c>
      <c r="B28" s="201">
        <v>0.02</v>
      </c>
      <c r="C28" s="201">
        <v>0</v>
      </c>
      <c r="D28" s="202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19" t="e">
        <f>IF(D28="",,VLOOKUP(D28,D$22:D27,1,0))</f>
        <v>#N/A</v>
      </c>
      <c r="F28" s="220">
        <f t="shared" si="1"/>
        <v>0.018000000000000002</v>
      </c>
      <c r="G28" s="20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21"/>
      <c r="M28" s="221"/>
      <c r="N28" s="221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10">
        <f t="shared" si="2"/>
        <v>0.018000000000000002</v>
      </c>
      <c r="R28" s="211">
        <f t="shared" si="3"/>
        <v>1</v>
      </c>
      <c r="S28" s="211">
        <f t="shared" si="4"/>
        <v>10</v>
      </c>
      <c r="T28" s="211">
        <f t="shared" si="5"/>
        <v>10</v>
      </c>
      <c r="U28" s="222">
        <f t="shared" si="6"/>
        <v>1</v>
      </c>
      <c r="V28" s="212">
        <f t="shared" si="7"/>
      </c>
      <c r="W28" s="213" t="s">
        <v>54</v>
      </c>
      <c r="Y28" s="214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15"/>
      <c r="AB28" s="216"/>
      <c r="AC28" s="216"/>
      <c r="BB28" s="8">
        <f t="shared" si="8"/>
        <v>1</v>
      </c>
    </row>
    <row r="29" spans="1:54" ht="15">
      <c r="A29" s="223" t="s">
        <v>16</v>
      </c>
      <c r="B29" s="201">
        <v>2.01</v>
      </c>
      <c r="C29" s="201">
        <v>0</v>
      </c>
      <c r="D29" s="202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19" t="e">
        <f>IF(D29="",,VLOOKUP(D29,D$22:D28,1,0))</f>
        <v>#N/A</v>
      </c>
      <c r="F29" s="220">
        <f t="shared" si="1"/>
        <v>1.8089999999999997</v>
      </c>
      <c r="G29" s="20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21"/>
      <c r="M29" s="221"/>
      <c r="N29" s="221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0">
        <f t="shared" si="2"/>
        <v>1.8089999999999997</v>
      </c>
      <c r="R29" s="211">
        <f t="shared" si="3"/>
        <v>3</v>
      </c>
      <c r="S29" s="211">
        <f t="shared" si="4"/>
        <v>36</v>
      </c>
      <c r="T29" s="211">
        <f t="shared" si="5"/>
        <v>36</v>
      </c>
      <c r="U29" s="222">
        <f t="shared" si="6"/>
        <v>3</v>
      </c>
      <c r="V29" s="212">
        <f t="shared" si="7"/>
      </c>
      <c r="W29" s="213" t="s">
        <v>54</v>
      </c>
      <c r="X29" s="213"/>
      <c r="Y29" s="214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15"/>
      <c r="AB29" s="216"/>
      <c r="AC29" s="216"/>
      <c r="BB29" s="8">
        <f t="shared" si="8"/>
        <v>1</v>
      </c>
    </row>
    <row r="30" spans="1:54" ht="15">
      <c r="A30" s="225" t="s">
        <v>84</v>
      </c>
      <c r="B30" s="201">
        <v>0</v>
      </c>
      <c r="C30" s="201">
        <v>0.1</v>
      </c>
      <c r="D30" s="202" t="str">
        <f>IF(ISERROR(VLOOKUP($A30,'[1]liste reference'!$A$7:$D$904,2,0)),IF(ISERROR(VLOOKUP($A30,'[1]liste reference'!$B$7:$D$904,1,0)),"",VLOOKUP($A30,'[1]liste reference'!$B$7:$D$904,1,0)),VLOOKUP($A30,'[1]liste reference'!$A$7:$D$904,2,0))</f>
        <v>Phalaris arundinacea</v>
      </c>
      <c r="E30" s="219" t="e">
        <f>IF(D30="",,VLOOKUP(D30,D$22:D29,1,0))</f>
        <v>#N/A</v>
      </c>
      <c r="F30" s="220">
        <f t="shared" si="1"/>
        <v>0.01</v>
      </c>
      <c r="G30" s="20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0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Phalaris arundinacea</v>
      </c>
      <c r="L30" s="221"/>
      <c r="M30" s="221"/>
      <c r="N30" s="221"/>
      <c r="O30" s="209"/>
      <c r="P30" s="20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1577</v>
      </c>
      <c r="Q30" s="210">
        <f t="shared" si="2"/>
        <v>0.01</v>
      </c>
      <c r="R30" s="211">
        <f t="shared" si="3"/>
        <v>1</v>
      </c>
      <c r="S30" s="211">
        <f t="shared" si="4"/>
        <v>10</v>
      </c>
      <c r="T30" s="211">
        <f t="shared" si="5"/>
        <v>10</v>
      </c>
      <c r="U30" s="222">
        <f t="shared" si="6"/>
        <v>1</v>
      </c>
      <c r="V30" s="212">
        <f t="shared" si="7"/>
      </c>
      <c r="W30" s="213" t="s">
        <v>54</v>
      </c>
      <c r="Y30" s="214" t="str">
        <f>IF(A30="new.cod","NEWCOD",IF(AND((Z30=""),ISTEXT(A30)),A30,IF(Z30="","",INDEX('[1]liste reference'!$A$8:$A$904,Z30))))</f>
        <v>PHAARU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634</v>
      </c>
      <c r="AA30" s="215"/>
      <c r="AB30" s="216"/>
      <c r="AC30" s="216"/>
      <c r="BB30" s="8">
        <f t="shared" si="8"/>
        <v>1</v>
      </c>
    </row>
    <row r="31" spans="1:54" ht="15">
      <c r="A31" s="226" t="s">
        <v>85</v>
      </c>
      <c r="B31" s="227">
        <v>0.01</v>
      </c>
      <c r="C31" s="201">
        <v>0</v>
      </c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19">
        <f>IF(D31="",,VLOOKUP(D31,D$22:D30,1,0))</f>
        <v>0</v>
      </c>
      <c r="F31" s="220">
        <f t="shared" si="1"/>
        <v>0.009000000000000001</v>
      </c>
      <c r="G31" s="20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    -</v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Encyonema sp.</v>
      </c>
      <c r="L31" s="221"/>
      <c r="M31" s="221"/>
      <c r="N31" s="221"/>
      <c r="O31" s="209"/>
      <c r="P31" s="209" t="str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No</v>
      </c>
      <c r="Q31" s="210">
        <f t="shared" si="2"/>
      </c>
      <c r="R31" s="211">
        <f t="shared" si="3"/>
      </c>
      <c r="S31" s="211">
        <f t="shared" si="4"/>
        <v>0</v>
      </c>
      <c r="T31" s="211">
        <f t="shared" si="5"/>
        <v>0</v>
      </c>
      <c r="U31" s="222">
        <f t="shared" si="6"/>
        <v>0</v>
      </c>
      <c r="V31" s="212">
        <f t="shared" si="7"/>
      </c>
      <c r="W31" s="213" t="s">
        <v>54</v>
      </c>
      <c r="Y31" s="214" t="str">
        <f>IF(A31="new.cod","NEWCOD",IF(AND((Z31=""),ISTEXT(A31)),A31,IF(Z31="","",INDEX('[1]liste reference'!$A$8:$A$904,Z31))))</f>
        <v>newcod</v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28" t="s">
        <v>86</v>
      </c>
      <c r="AC31" s="216"/>
      <c r="BB31" s="8">
        <f t="shared" si="8"/>
        <v>1</v>
      </c>
    </row>
    <row r="32" spans="1:54" ht="12.75" customHeight="1">
      <c r="A32" s="229" t="s">
        <v>54</v>
      </c>
      <c r="B32" s="230"/>
      <c r="C32" s="231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9">
        <f>IF(D32="",,VLOOKUP(D32,D$22:D31,1,0))</f>
        <v>0</v>
      </c>
      <c r="F32" s="220">
        <f t="shared" si="1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1"/>
      <c r="M32" s="221"/>
      <c r="N32" s="221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2"/>
      </c>
      <c r="R32" s="211">
        <f t="shared" si="3"/>
      </c>
      <c r="S32" s="211">
        <f t="shared" si="4"/>
        <v>0</v>
      </c>
      <c r="T32" s="211">
        <f t="shared" si="5"/>
        <v>0</v>
      </c>
      <c r="U32" s="222">
        <f t="shared" si="6"/>
        <v>0</v>
      </c>
      <c r="V32" s="212">
        <f t="shared" si="7"/>
      </c>
      <c r="W32" s="213" t="s">
        <v>54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8"/>
      </c>
    </row>
    <row r="33" spans="1:54" ht="12.75">
      <c r="A33" s="232" t="s">
        <v>54</v>
      </c>
      <c r="B33" s="233"/>
      <c r="C33" s="234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9">
        <f>IF(D33="",,VLOOKUP(D33,D$22:D32,1,0))</f>
        <v>0</v>
      </c>
      <c r="F33" s="220">
        <f t="shared" si="1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1"/>
      <c r="M33" s="221"/>
      <c r="N33" s="221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2"/>
      </c>
      <c r="R33" s="211">
        <f t="shared" si="3"/>
      </c>
      <c r="S33" s="211">
        <f t="shared" si="4"/>
        <v>0</v>
      </c>
      <c r="T33" s="211">
        <f t="shared" si="5"/>
        <v>0</v>
      </c>
      <c r="U33" s="222">
        <f t="shared" si="6"/>
        <v>0</v>
      </c>
      <c r="V33" s="212">
        <f t="shared" si="7"/>
      </c>
      <c r="W33" s="213" t="s">
        <v>54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8"/>
      </c>
    </row>
    <row r="34" spans="1:54" ht="12.75">
      <c r="A34" s="232" t="s">
        <v>54</v>
      </c>
      <c r="B34" s="233"/>
      <c r="C34" s="234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9">
        <f>IF(D34="",,VLOOKUP(D34,D$22:D33,1,0))</f>
        <v>0</v>
      </c>
      <c r="F34" s="235">
        <f t="shared" si="1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1"/>
      <c r="M34" s="221"/>
      <c r="N34" s="221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2"/>
      </c>
      <c r="R34" s="211">
        <f t="shared" si="3"/>
      </c>
      <c r="S34" s="211">
        <f t="shared" si="4"/>
        <v>0</v>
      </c>
      <c r="T34" s="211">
        <f t="shared" si="5"/>
        <v>0</v>
      </c>
      <c r="U34" s="222">
        <f t="shared" si="6"/>
        <v>0</v>
      </c>
      <c r="V34" s="212">
        <f t="shared" si="7"/>
      </c>
      <c r="W34" s="213" t="s">
        <v>54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8"/>
      </c>
    </row>
    <row r="35" spans="1:54" ht="12.75">
      <c r="A35" s="232" t="s">
        <v>54</v>
      </c>
      <c r="B35" s="233"/>
      <c r="C35" s="234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9">
        <f>IF(D35="",,VLOOKUP(D35,D$22:D34,1,0))</f>
        <v>0</v>
      </c>
      <c r="F35" s="235">
        <f t="shared" si="1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1"/>
      <c r="M35" s="221"/>
      <c r="N35" s="221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2"/>
      </c>
      <c r="R35" s="211">
        <f t="shared" si="3"/>
      </c>
      <c r="S35" s="211">
        <f t="shared" si="4"/>
        <v>0</v>
      </c>
      <c r="T35" s="211">
        <f t="shared" si="5"/>
        <v>0</v>
      </c>
      <c r="U35" s="222">
        <f t="shared" si="6"/>
        <v>0</v>
      </c>
      <c r="V35" s="212">
        <f t="shared" si="7"/>
      </c>
      <c r="W35" s="213" t="s">
        <v>54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8"/>
      </c>
    </row>
    <row r="36" spans="1:54" ht="12.75">
      <c r="A36" s="232" t="s">
        <v>54</v>
      </c>
      <c r="B36" s="233"/>
      <c r="C36" s="234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9">
        <f>IF(D36="",,VLOOKUP(D36,D$22:D35,1,0))</f>
        <v>0</v>
      </c>
      <c r="F36" s="235">
        <f t="shared" si="1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1"/>
      <c r="M36" s="221"/>
      <c r="N36" s="221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2"/>
      </c>
      <c r="R36" s="211">
        <f t="shared" si="3"/>
      </c>
      <c r="S36" s="211">
        <f t="shared" si="4"/>
        <v>0</v>
      </c>
      <c r="T36" s="211">
        <f t="shared" si="5"/>
        <v>0</v>
      </c>
      <c r="U36" s="222">
        <f t="shared" si="6"/>
        <v>0</v>
      </c>
      <c r="V36" s="212">
        <f t="shared" si="7"/>
      </c>
      <c r="W36" s="213" t="s">
        <v>54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8"/>
      </c>
    </row>
    <row r="37" spans="1:54" ht="12.75">
      <c r="A37" s="232" t="s">
        <v>54</v>
      </c>
      <c r="B37" s="233"/>
      <c r="C37" s="234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9">
        <f>IF(D37="",,VLOOKUP(D37,D$22:D36,1,0))</f>
        <v>0</v>
      </c>
      <c r="F37" s="235">
        <f t="shared" si="1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1"/>
      <c r="M37" s="221"/>
      <c r="N37" s="221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2"/>
      </c>
      <c r="R37" s="211">
        <f t="shared" si="3"/>
      </c>
      <c r="S37" s="211">
        <f t="shared" si="4"/>
        <v>0</v>
      </c>
      <c r="T37" s="211">
        <f t="shared" si="5"/>
        <v>0</v>
      </c>
      <c r="U37" s="222">
        <f t="shared" si="6"/>
        <v>0</v>
      </c>
      <c r="V37" s="212">
        <f t="shared" si="7"/>
      </c>
      <c r="W37" s="213" t="s">
        <v>54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8"/>
      </c>
    </row>
    <row r="38" spans="1:54" ht="12.75">
      <c r="A38" s="232" t="s">
        <v>54</v>
      </c>
      <c r="B38" s="233"/>
      <c r="C38" s="234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9">
        <f>IF(D38="",,VLOOKUP(D38,D$22:D37,1,0))</f>
        <v>0</v>
      </c>
      <c r="F38" s="235">
        <f t="shared" si="1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1"/>
      <c r="M38" s="221"/>
      <c r="N38" s="221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2"/>
      </c>
      <c r="R38" s="211">
        <f t="shared" si="3"/>
      </c>
      <c r="S38" s="211">
        <f t="shared" si="4"/>
        <v>0</v>
      </c>
      <c r="T38" s="211">
        <f t="shared" si="5"/>
        <v>0</v>
      </c>
      <c r="U38" s="222">
        <f t="shared" si="6"/>
        <v>0</v>
      </c>
      <c r="V38" s="212">
        <f t="shared" si="7"/>
      </c>
      <c r="W38" s="213" t="s">
        <v>54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8"/>
      </c>
    </row>
    <row r="39" spans="1:54" ht="12.75">
      <c r="A39" s="232" t="s">
        <v>54</v>
      </c>
      <c r="B39" s="233"/>
      <c r="C39" s="234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9">
        <f>IF(D39="",,VLOOKUP(D39,D$22:D38,1,0))</f>
        <v>0</v>
      </c>
      <c r="F39" s="235">
        <f t="shared" si="1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1"/>
      <c r="M39" s="221"/>
      <c r="N39" s="221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2"/>
      </c>
      <c r="R39" s="211">
        <f t="shared" si="3"/>
      </c>
      <c r="S39" s="211">
        <f t="shared" si="4"/>
        <v>0</v>
      </c>
      <c r="T39" s="211">
        <f t="shared" si="5"/>
        <v>0</v>
      </c>
      <c r="U39" s="222">
        <f t="shared" si="6"/>
        <v>0</v>
      </c>
      <c r="V39" s="212">
        <f t="shared" si="7"/>
      </c>
      <c r="W39" s="213" t="s">
        <v>54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8"/>
      </c>
    </row>
    <row r="40" spans="1:54" ht="12.75">
      <c r="A40" s="232" t="s">
        <v>54</v>
      </c>
      <c r="B40" s="233"/>
      <c r="C40" s="234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9">
        <f>IF(D40="",,VLOOKUP(D40,D$22:D39,1,0))</f>
        <v>0</v>
      </c>
      <c r="F40" s="235">
        <f t="shared" si="1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1"/>
      <c r="M40" s="221"/>
      <c r="N40" s="221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2"/>
      </c>
      <c r="R40" s="211">
        <f t="shared" si="3"/>
      </c>
      <c r="S40" s="211">
        <f t="shared" si="4"/>
        <v>0</v>
      </c>
      <c r="T40" s="211">
        <f t="shared" si="5"/>
        <v>0</v>
      </c>
      <c r="U40" s="222">
        <f t="shared" si="6"/>
        <v>0</v>
      </c>
      <c r="V40" s="212">
        <f t="shared" si="7"/>
      </c>
      <c r="W40" s="213" t="s">
        <v>54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8"/>
      </c>
    </row>
    <row r="41" spans="1:54" ht="12.75">
      <c r="A41" s="232" t="s">
        <v>54</v>
      </c>
      <c r="B41" s="233"/>
      <c r="C41" s="234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9">
        <f>IF(D41="",,VLOOKUP(D41,D$22:D40,1,0))</f>
        <v>0</v>
      </c>
      <c r="F41" s="235">
        <f t="shared" si="1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1"/>
      <c r="M41" s="221"/>
      <c r="N41" s="221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2"/>
      </c>
      <c r="R41" s="211">
        <f t="shared" si="3"/>
      </c>
      <c r="S41" s="211">
        <f t="shared" si="4"/>
        <v>0</v>
      </c>
      <c r="T41" s="211">
        <f t="shared" si="5"/>
        <v>0</v>
      </c>
      <c r="U41" s="222">
        <f t="shared" si="6"/>
        <v>0</v>
      </c>
      <c r="V41" s="212">
        <f t="shared" si="7"/>
      </c>
      <c r="W41" s="213" t="s">
        <v>54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8"/>
      </c>
    </row>
    <row r="42" spans="1:54" ht="12.75">
      <c r="A42" s="232" t="s">
        <v>54</v>
      </c>
      <c r="B42" s="233"/>
      <c r="C42" s="234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9">
        <f>IF(D42="",,VLOOKUP(D42,D$22:D41,1,0))</f>
        <v>0</v>
      </c>
      <c r="F42" s="235">
        <f t="shared" si="1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1"/>
      <c r="M42" s="221"/>
      <c r="N42" s="221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2"/>
      </c>
      <c r="R42" s="211">
        <f t="shared" si="3"/>
      </c>
      <c r="S42" s="211">
        <f t="shared" si="4"/>
        <v>0</v>
      </c>
      <c r="T42" s="211">
        <f t="shared" si="5"/>
        <v>0</v>
      </c>
      <c r="U42" s="222">
        <f t="shared" si="6"/>
        <v>0</v>
      </c>
      <c r="V42" s="212">
        <f t="shared" si="7"/>
      </c>
      <c r="W42" s="213" t="s">
        <v>54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8"/>
      </c>
    </row>
    <row r="43" spans="1:54" ht="12.75">
      <c r="A43" s="232" t="s">
        <v>54</v>
      </c>
      <c r="B43" s="233"/>
      <c r="C43" s="234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9">
        <f>IF(D43="",,VLOOKUP(D43,D$22:D42,1,0))</f>
        <v>0</v>
      </c>
      <c r="F43" s="235">
        <f t="shared" si="1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1"/>
      <c r="M43" s="221"/>
      <c r="N43" s="221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2"/>
      </c>
      <c r="R43" s="211">
        <f t="shared" si="3"/>
      </c>
      <c r="S43" s="211">
        <f t="shared" si="4"/>
        <v>0</v>
      </c>
      <c r="T43" s="211">
        <f t="shared" si="5"/>
        <v>0</v>
      </c>
      <c r="U43" s="222">
        <f t="shared" si="6"/>
        <v>0</v>
      </c>
      <c r="V43" s="212">
        <f t="shared" si="7"/>
      </c>
      <c r="W43" s="213" t="s">
        <v>54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8"/>
      </c>
    </row>
    <row r="44" spans="1:54" ht="12.75">
      <c r="A44" s="232" t="s">
        <v>54</v>
      </c>
      <c r="B44" s="233"/>
      <c r="C44" s="234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9">
        <f>IF(D44="",,VLOOKUP(D44,D$22:D43,1,0))</f>
        <v>0</v>
      </c>
      <c r="F44" s="235">
        <f t="shared" si="1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1"/>
      <c r="M44" s="221"/>
      <c r="N44" s="221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2"/>
      </c>
      <c r="R44" s="211">
        <f t="shared" si="3"/>
      </c>
      <c r="S44" s="211">
        <f t="shared" si="4"/>
        <v>0</v>
      </c>
      <c r="T44" s="211">
        <f t="shared" si="5"/>
        <v>0</v>
      </c>
      <c r="U44" s="222">
        <f t="shared" si="6"/>
        <v>0</v>
      </c>
      <c r="V44" s="212">
        <f t="shared" si="7"/>
      </c>
      <c r="W44" s="213" t="s">
        <v>54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8"/>
      </c>
    </row>
    <row r="45" spans="1:54" ht="12.75">
      <c r="A45" s="232" t="s">
        <v>54</v>
      </c>
      <c r="B45" s="233"/>
      <c r="C45" s="234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9">
        <f>IF(D45="",,VLOOKUP(D45,D$22:D44,1,0))</f>
        <v>0</v>
      </c>
      <c r="F45" s="235">
        <f t="shared" si="1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1"/>
      <c r="M45" s="221"/>
      <c r="N45" s="221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2"/>
      </c>
      <c r="R45" s="211">
        <f t="shared" si="3"/>
      </c>
      <c r="S45" s="211">
        <f t="shared" si="4"/>
        <v>0</v>
      </c>
      <c r="T45" s="211">
        <f t="shared" si="5"/>
        <v>0</v>
      </c>
      <c r="U45" s="222">
        <f t="shared" si="6"/>
        <v>0</v>
      </c>
      <c r="V45" s="212">
        <f t="shared" si="7"/>
      </c>
      <c r="W45" s="213" t="s">
        <v>54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8"/>
      </c>
    </row>
    <row r="46" spans="1:54" ht="12.75">
      <c r="A46" s="232" t="s">
        <v>54</v>
      </c>
      <c r="B46" s="233"/>
      <c r="C46" s="234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9">
        <f>IF(D46="",,VLOOKUP(D46,D$22:D39,1,0))</f>
        <v>0</v>
      </c>
      <c r="F46" s="235">
        <f t="shared" si="1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1"/>
      <c r="M46" s="221"/>
      <c r="N46" s="221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2"/>
      </c>
      <c r="R46" s="211">
        <f t="shared" si="3"/>
      </c>
      <c r="S46" s="211">
        <f t="shared" si="4"/>
        <v>0</v>
      </c>
      <c r="T46" s="211">
        <f t="shared" si="5"/>
        <v>0</v>
      </c>
      <c r="U46" s="222">
        <f t="shared" si="6"/>
        <v>0</v>
      </c>
      <c r="V46" s="212">
        <f t="shared" si="7"/>
      </c>
      <c r="W46" s="213" t="s">
        <v>54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8"/>
      </c>
    </row>
    <row r="47" spans="1:54" ht="12.75">
      <c r="A47" s="232" t="s">
        <v>54</v>
      </c>
      <c r="B47" s="233"/>
      <c r="C47" s="234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9">
        <f>IF(D47="",,VLOOKUP(D47,D$22:D39,1,0))</f>
        <v>0</v>
      </c>
      <c r="F47" s="235">
        <f t="shared" si="1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1"/>
      <c r="M47" s="221"/>
      <c r="N47" s="221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2"/>
      </c>
      <c r="R47" s="211">
        <f t="shared" si="3"/>
      </c>
      <c r="S47" s="211">
        <f t="shared" si="4"/>
        <v>0</v>
      </c>
      <c r="T47" s="211">
        <f t="shared" si="5"/>
        <v>0</v>
      </c>
      <c r="U47" s="222">
        <f t="shared" si="6"/>
        <v>0</v>
      </c>
      <c r="V47" s="212">
        <f t="shared" si="7"/>
      </c>
      <c r="W47" s="213" t="s">
        <v>54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8"/>
      </c>
    </row>
    <row r="48" spans="1:54" ht="12.75">
      <c r="A48" s="232" t="s">
        <v>54</v>
      </c>
      <c r="B48" s="233"/>
      <c r="C48" s="234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9">
        <f>IF(D48="",,VLOOKUP(D48,D$22:D40,1,0))</f>
        <v>0</v>
      </c>
      <c r="F48" s="235">
        <f t="shared" si="1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1"/>
      <c r="M48" s="221"/>
      <c r="N48" s="221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2"/>
      </c>
      <c r="R48" s="211">
        <f t="shared" si="3"/>
      </c>
      <c r="S48" s="211">
        <f t="shared" si="4"/>
        <v>0</v>
      </c>
      <c r="T48" s="211">
        <f t="shared" si="5"/>
        <v>0</v>
      </c>
      <c r="U48" s="222">
        <f t="shared" si="6"/>
        <v>0</v>
      </c>
      <c r="V48" s="212">
        <f t="shared" si="7"/>
      </c>
      <c r="W48" s="213" t="s">
        <v>54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8"/>
      </c>
    </row>
    <row r="49" spans="1:54" ht="12.75">
      <c r="A49" s="232" t="s">
        <v>54</v>
      </c>
      <c r="B49" s="233"/>
      <c r="C49" s="234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9">
        <f>IF(D49="",,VLOOKUP(D49,D$22:D48,1,0))</f>
        <v>0</v>
      </c>
      <c r="F49" s="235">
        <f t="shared" si="1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1"/>
      <c r="M49" s="221"/>
      <c r="N49" s="221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2"/>
      </c>
      <c r="R49" s="211">
        <f t="shared" si="3"/>
      </c>
      <c r="S49" s="211">
        <f t="shared" si="4"/>
        <v>0</v>
      </c>
      <c r="T49" s="211">
        <f t="shared" si="5"/>
        <v>0</v>
      </c>
      <c r="U49" s="222">
        <f t="shared" si="6"/>
        <v>0</v>
      </c>
      <c r="V49" s="212">
        <f t="shared" si="7"/>
      </c>
      <c r="W49" s="213" t="s">
        <v>54</v>
      </c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8"/>
      </c>
    </row>
    <row r="50" spans="1:54" ht="12.75">
      <c r="A50" s="232" t="s">
        <v>54</v>
      </c>
      <c r="B50" s="233"/>
      <c r="C50" s="234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9">
        <f>IF(D50="",,VLOOKUP(D50,D$22:D49,1,0))</f>
        <v>0</v>
      </c>
      <c r="F50" s="235">
        <f t="shared" si="1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1"/>
      <c r="M50" s="221"/>
      <c r="N50" s="221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2"/>
      </c>
      <c r="R50" s="211">
        <f t="shared" si="3"/>
      </c>
      <c r="S50" s="211">
        <f t="shared" si="4"/>
        <v>0</v>
      </c>
      <c r="T50" s="211">
        <f t="shared" si="5"/>
        <v>0</v>
      </c>
      <c r="U50" s="222">
        <f t="shared" si="6"/>
        <v>0</v>
      </c>
      <c r="V50" s="212">
        <f t="shared" si="7"/>
      </c>
      <c r="W50" s="213" t="s">
        <v>54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8"/>
      </c>
    </row>
    <row r="51" spans="1:54" ht="12.75">
      <c r="A51" s="232" t="s">
        <v>54</v>
      </c>
      <c r="B51" s="233"/>
      <c r="C51" s="234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9">
        <f>IF(D51="",,VLOOKUP(D51,D$22:D50,1,0))</f>
        <v>0</v>
      </c>
      <c r="F51" s="235">
        <f t="shared" si="1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1"/>
      <c r="M51" s="221"/>
      <c r="N51" s="221"/>
      <c r="O51" s="209"/>
      <c r="P51" s="20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2"/>
      </c>
      <c r="R51" s="211">
        <f t="shared" si="3"/>
      </c>
      <c r="S51" s="211">
        <f t="shared" si="4"/>
        <v>0</v>
      </c>
      <c r="T51" s="211">
        <f t="shared" si="5"/>
        <v>0</v>
      </c>
      <c r="U51" s="222">
        <f t="shared" si="6"/>
        <v>0</v>
      </c>
      <c r="V51" s="212">
        <f t="shared" si="7"/>
      </c>
      <c r="W51" s="213" t="s">
        <v>54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8"/>
      </c>
    </row>
    <row r="52" spans="1:54" ht="12.75">
      <c r="A52" s="232" t="s">
        <v>54</v>
      </c>
      <c r="B52" s="233"/>
      <c r="C52" s="234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9">
        <f>IF(D52="",,VLOOKUP(D52,D$22:D51,1,0))</f>
        <v>0</v>
      </c>
      <c r="F52" s="235">
        <f t="shared" si="1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1"/>
      <c r="M52" s="221"/>
      <c r="N52" s="221"/>
      <c r="O52" s="209"/>
      <c r="P52" s="20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2"/>
      </c>
      <c r="R52" s="211">
        <f t="shared" si="3"/>
      </c>
      <c r="S52" s="211">
        <f t="shared" si="4"/>
        <v>0</v>
      </c>
      <c r="T52" s="211">
        <f t="shared" si="5"/>
        <v>0</v>
      </c>
      <c r="U52" s="222">
        <f t="shared" si="6"/>
        <v>0</v>
      </c>
      <c r="V52" s="212">
        <f t="shared" si="7"/>
      </c>
      <c r="W52" s="213" t="s">
        <v>54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8"/>
      </c>
    </row>
    <row r="53" spans="1:54" ht="12.75">
      <c r="A53" s="232" t="s">
        <v>54</v>
      </c>
      <c r="B53" s="233"/>
      <c r="C53" s="234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9">
        <f>IF(D53="",,VLOOKUP(D53,D$22:D52,1,0))</f>
        <v>0</v>
      </c>
      <c r="F53" s="235">
        <f t="shared" si="1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1"/>
      <c r="M53" s="221"/>
      <c r="N53" s="221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2"/>
      </c>
      <c r="R53" s="211">
        <f t="shared" si="3"/>
      </c>
      <c r="S53" s="211">
        <f t="shared" si="4"/>
        <v>0</v>
      </c>
      <c r="T53" s="211">
        <f t="shared" si="5"/>
        <v>0</v>
      </c>
      <c r="U53" s="222">
        <f t="shared" si="6"/>
        <v>0</v>
      </c>
      <c r="V53" s="212">
        <f t="shared" si="7"/>
      </c>
      <c r="W53" s="213" t="s">
        <v>54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8"/>
      </c>
    </row>
    <row r="54" spans="1:54" ht="12.75">
      <c r="A54" s="232" t="s">
        <v>54</v>
      </c>
      <c r="B54" s="233"/>
      <c r="C54" s="234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9">
        <f>IF(D54="",,VLOOKUP(D54,D$22:D53,1,0))</f>
        <v>0</v>
      </c>
      <c r="F54" s="235">
        <f t="shared" si="1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1"/>
      <c r="M54" s="221"/>
      <c r="N54" s="221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2"/>
      </c>
      <c r="R54" s="211">
        <f t="shared" si="3"/>
      </c>
      <c r="S54" s="211">
        <f t="shared" si="4"/>
        <v>0</v>
      </c>
      <c r="T54" s="211">
        <f t="shared" si="5"/>
        <v>0</v>
      </c>
      <c r="U54" s="222">
        <f t="shared" si="6"/>
        <v>0</v>
      </c>
      <c r="V54" s="212">
        <f t="shared" si="7"/>
      </c>
      <c r="W54" s="213" t="s">
        <v>54</v>
      </c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8"/>
      </c>
    </row>
    <row r="55" spans="1:54" ht="12.75">
      <c r="A55" s="232" t="s">
        <v>54</v>
      </c>
      <c r="B55" s="233"/>
      <c r="C55" s="234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9">
        <f>IF(D55="",,VLOOKUP(D55,D$22:D54,1,0))</f>
        <v>0</v>
      </c>
      <c r="F55" s="235">
        <f t="shared" si="1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1"/>
      <c r="M55" s="221"/>
      <c r="N55" s="221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2"/>
      </c>
      <c r="R55" s="211">
        <f t="shared" si="3"/>
      </c>
      <c r="S55" s="211">
        <f t="shared" si="4"/>
        <v>0</v>
      </c>
      <c r="T55" s="211">
        <f t="shared" si="5"/>
        <v>0</v>
      </c>
      <c r="U55" s="222">
        <f t="shared" si="6"/>
        <v>0</v>
      </c>
      <c r="V55" s="212">
        <f t="shared" si="7"/>
      </c>
      <c r="W55" s="213" t="s">
        <v>54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8"/>
      </c>
    </row>
    <row r="56" spans="1:54" ht="12.75">
      <c r="A56" s="232" t="s">
        <v>54</v>
      </c>
      <c r="B56" s="233"/>
      <c r="C56" s="234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9">
        <f>IF(D56="",,VLOOKUP(D56,D$22:D55,1,0))</f>
        <v>0</v>
      </c>
      <c r="F56" s="235">
        <f t="shared" si="1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1"/>
      <c r="M56" s="221"/>
      <c r="N56" s="221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2"/>
      </c>
      <c r="R56" s="211">
        <f t="shared" si="3"/>
      </c>
      <c r="S56" s="211">
        <f t="shared" si="4"/>
        <v>0</v>
      </c>
      <c r="T56" s="211">
        <f t="shared" si="5"/>
        <v>0</v>
      </c>
      <c r="U56" s="222">
        <f t="shared" si="6"/>
        <v>0</v>
      </c>
      <c r="V56" s="212">
        <f t="shared" si="7"/>
      </c>
      <c r="W56" s="213" t="s">
        <v>54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8"/>
      </c>
    </row>
    <row r="57" spans="1:54" ht="12.75">
      <c r="A57" s="232" t="s">
        <v>54</v>
      </c>
      <c r="B57" s="233"/>
      <c r="C57" s="234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9">
        <f>IF(D57="",,VLOOKUP(D57,D$21:D56,1,0))</f>
        <v>0</v>
      </c>
      <c r="F57" s="235">
        <f t="shared" si="1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1"/>
      <c r="M57" s="221"/>
      <c r="N57" s="221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2"/>
      </c>
      <c r="R57" s="211">
        <f t="shared" si="3"/>
      </c>
      <c r="S57" s="211">
        <f t="shared" si="4"/>
        <v>0</v>
      </c>
      <c r="T57" s="211">
        <f t="shared" si="5"/>
        <v>0</v>
      </c>
      <c r="U57" s="222">
        <f t="shared" si="6"/>
        <v>0</v>
      </c>
      <c r="V57" s="212">
        <f t="shared" si="7"/>
      </c>
      <c r="W57" s="213" t="s">
        <v>54</v>
      </c>
      <c r="X57" s="236"/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8"/>
      </c>
    </row>
    <row r="58" spans="1:54" ht="12.75">
      <c r="A58" s="232" t="s">
        <v>54</v>
      </c>
      <c r="B58" s="233"/>
      <c r="C58" s="234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9">
        <f>IF(D58="",,VLOOKUP(D58,D$22:D57,1,0))</f>
        <v>0</v>
      </c>
      <c r="F58" s="235">
        <f t="shared" si="1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1"/>
      <c r="M58" s="221"/>
      <c r="N58" s="221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2"/>
      </c>
      <c r="R58" s="211">
        <f t="shared" si="3"/>
      </c>
      <c r="S58" s="211">
        <f t="shared" si="4"/>
        <v>0</v>
      </c>
      <c r="T58" s="211">
        <f t="shared" si="5"/>
        <v>0</v>
      </c>
      <c r="U58" s="222">
        <f t="shared" si="6"/>
        <v>0</v>
      </c>
      <c r="V58" s="212">
        <f t="shared" si="7"/>
      </c>
      <c r="W58" s="213" t="s">
        <v>54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8"/>
      </c>
    </row>
    <row r="59" spans="1:54" ht="12.75">
      <c r="A59" s="232" t="s">
        <v>54</v>
      </c>
      <c r="B59" s="233"/>
      <c r="C59" s="234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9">
        <f>IF(D59="",,VLOOKUP(D59,D$22:D58,1,0))</f>
        <v>0</v>
      </c>
      <c r="F59" s="235">
        <f t="shared" si="1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7"/>
      <c r="M59" s="237"/>
      <c r="N59" s="237"/>
      <c r="O59" s="209"/>
      <c r="P59" s="23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2"/>
      </c>
      <c r="R59" s="211">
        <f t="shared" si="3"/>
      </c>
      <c r="S59" s="211">
        <f t="shared" si="4"/>
        <v>0</v>
      </c>
      <c r="T59" s="211">
        <f t="shared" si="5"/>
        <v>0</v>
      </c>
      <c r="U59" s="222">
        <f t="shared" si="6"/>
        <v>0</v>
      </c>
      <c r="V59" s="212">
        <f t="shared" si="7"/>
      </c>
      <c r="W59" s="213" t="s">
        <v>54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8"/>
      </c>
    </row>
    <row r="60" spans="1:54" ht="12.75">
      <c r="A60" s="232" t="s">
        <v>54</v>
      </c>
      <c r="B60" s="233"/>
      <c r="C60" s="234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9">
        <f>IF(D60="",,VLOOKUP(D60,D$22:D59,1,0))</f>
        <v>0</v>
      </c>
      <c r="F60" s="235">
        <f t="shared" si="1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7"/>
      <c r="M60" s="237"/>
      <c r="N60" s="237"/>
      <c r="O60" s="209"/>
      <c r="P60" s="23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2"/>
      </c>
      <c r="R60" s="211">
        <f t="shared" si="3"/>
      </c>
      <c r="S60" s="211">
        <f t="shared" si="4"/>
        <v>0</v>
      </c>
      <c r="T60" s="211">
        <f t="shared" si="5"/>
        <v>0</v>
      </c>
      <c r="U60" s="222">
        <f t="shared" si="6"/>
        <v>0</v>
      </c>
      <c r="V60" s="212">
        <f t="shared" si="7"/>
      </c>
      <c r="W60" s="213" t="s">
        <v>54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8"/>
      </c>
    </row>
    <row r="61" spans="1:54" ht="12.75">
      <c r="A61" s="232" t="s">
        <v>54</v>
      </c>
      <c r="B61" s="233"/>
      <c r="C61" s="234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9">
        <f>IF(D61="",,VLOOKUP(D61,D$22:D60,1,0))</f>
        <v>0</v>
      </c>
      <c r="F61" s="235">
        <f t="shared" si="1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1"/>
      <c r="M61" s="221"/>
      <c r="N61" s="221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2"/>
      </c>
      <c r="R61" s="211">
        <f t="shared" si="3"/>
      </c>
      <c r="S61" s="211">
        <f t="shared" si="4"/>
        <v>0</v>
      </c>
      <c r="T61" s="211">
        <f t="shared" si="5"/>
        <v>0</v>
      </c>
      <c r="U61" s="222">
        <f t="shared" si="6"/>
        <v>0</v>
      </c>
      <c r="V61" s="212">
        <f t="shared" si="7"/>
      </c>
      <c r="W61" s="213" t="s">
        <v>54</v>
      </c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8"/>
      </c>
    </row>
    <row r="62" spans="1:54" ht="12.75">
      <c r="A62" s="232" t="s">
        <v>54</v>
      </c>
      <c r="B62" s="233"/>
      <c r="C62" s="234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9">
        <f>IF(D62="",,VLOOKUP(D62,D$22:D61,1,0))</f>
        <v>0</v>
      </c>
      <c r="F62" s="235">
        <f t="shared" si="1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1"/>
      <c r="M62" s="221"/>
      <c r="N62" s="221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2"/>
      </c>
      <c r="R62" s="211">
        <f t="shared" si="3"/>
      </c>
      <c r="S62" s="211">
        <f t="shared" si="4"/>
        <v>0</v>
      </c>
      <c r="T62" s="211">
        <f t="shared" si="5"/>
        <v>0</v>
      </c>
      <c r="U62" s="222">
        <f t="shared" si="6"/>
        <v>0</v>
      </c>
      <c r="V62" s="212">
        <f t="shared" si="7"/>
      </c>
      <c r="W62" s="213" t="s">
        <v>54</v>
      </c>
      <c r="X62" s="213"/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8"/>
      </c>
    </row>
    <row r="63" spans="1:54" ht="12.75" hidden="1">
      <c r="A63" s="232" t="s">
        <v>54</v>
      </c>
      <c r="B63" s="233"/>
      <c r="C63" s="234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9">
        <f>IF(D63="",,VLOOKUP(D63,D$22:D62,1,0))</f>
        <v>0</v>
      </c>
      <c r="F63" s="235">
        <f aca="true" t="shared" si="9" ref="F63:F82">($B63*$B$7+$C63*$C$7)/100</f>
        <v>0</v>
      </c>
      <c r="G63" s="23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1"/>
      <c r="M63" s="221"/>
      <c r="N63" s="221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aca="true" t="shared" si="10" ref="Q63:Q82">IF(ISTEXT(H63),"",(B63*$B$7/100)+(C63*$C$7/100))</f>
      </c>
      <c r="R63" s="211">
        <f aca="true" t="shared" si="11" ref="R63:R82">IF(OR(ISTEXT(H63),Q63=0),"",IF(Q63&lt;0.1,1,IF(Q63&lt;1,2,IF(Q63&lt;10,3,IF(Q63&lt;50,4,IF(Q63&gt;=50,5,""))))))</f>
      </c>
      <c r="S63" s="211">
        <f aca="true" t="shared" si="12" ref="S63:S82">IF(ISERROR(R63*I63),0,R63*I63)</f>
        <v>0</v>
      </c>
      <c r="T63" s="211">
        <f aca="true" t="shared" si="13" ref="T63:T82">IF(ISERROR(R63*I63*J63),0,R63*I63*J63)</f>
        <v>0</v>
      </c>
      <c r="U63" s="222">
        <f aca="true" t="shared" si="14" ref="U63:U82">IF(ISERROR(R63*J63),0,R63*J63)</f>
        <v>0</v>
      </c>
      <c r="V63" s="212">
        <f aca="true" t="shared" si="15" ref="V63:V82">IF(AND(A63="",F63=0),"",IF(F63=0,"Il manque le(s) % de rec. !",""))</f>
      </c>
      <c r="W63" s="213" t="s">
        <v>54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aca="true" t="shared" si="16" ref="BB63:BB82">IF(A63="","",1)</f>
      </c>
    </row>
    <row r="64" spans="1:54" ht="12.75" customHeight="1" hidden="1">
      <c r="A64" s="232" t="s">
        <v>54</v>
      </c>
      <c r="B64" s="233"/>
      <c r="C64" s="234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9">
        <f>IF(D64="",,VLOOKUP(D64,D$22:D52,1,0))</f>
        <v>0</v>
      </c>
      <c r="F64" s="235">
        <f t="shared" si="9"/>
        <v>0</v>
      </c>
      <c r="G64" s="24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1"/>
      <c r="M64" s="221"/>
      <c r="N64" s="221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10"/>
      </c>
      <c r="R64" s="211">
        <f t="shared" si="11"/>
      </c>
      <c r="S64" s="211">
        <f t="shared" si="12"/>
        <v>0</v>
      </c>
      <c r="T64" s="211">
        <f t="shared" si="13"/>
        <v>0</v>
      </c>
      <c r="U64" s="222">
        <f t="shared" si="14"/>
        <v>0</v>
      </c>
      <c r="V64" s="212">
        <f t="shared" si="15"/>
      </c>
      <c r="W64" s="213" t="s">
        <v>54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16"/>
      </c>
    </row>
    <row r="65" spans="1:54" ht="12.75" hidden="1">
      <c r="A65" s="232" t="s">
        <v>54</v>
      </c>
      <c r="B65" s="233"/>
      <c r="C65" s="234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9">
        <f>IF(D65="",,VLOOKUP(D65,D$22:D53,1,0))</f>
        <v>0</v>
      </c>
      <c r="F65" s="235">
        <f t="shared" si="9"/>
        <v>0</v>
      </c>
      <c r="G65" s="24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1"/>
      <c r="M65" s="221"/>
      <c r="N65" s="221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10"/>
      </c>
      <c r="R65" s="211">
        <f t="shared" si="11"/>
      </c>
      <c r="S65" s="211">
        <f t="shared" si="12"/>
        <v>0</v>
      </c>
      <c r="T65" s="211">
        <f t="shared" si="13"/>
        <v>0</v>
      </c>
      <c r="U65" s="222">
        <f t="shared" si="14"/>
        <v>0</v>
      </c>
      <c r="V65" s="212">
        <f t="shared" si="15"/>
      </c>
      <c r="W65" s="213" t="s">
        <v>54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16"/>
      </c>
    </row>
    <row r="66" spans="1:54" ht="12.75" hidden="1">
      <c r="A66" s="232" t="s">
        <v>54</v>
      </c>
      <c r="B66" s="233"/>
      <c r="C66" s="234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9">
        <f>IF(D66="",,VLOOKUP(D66,D$22:D51,1,0))</f>
        <v>0</v>
      </c>
      <c r="F66" s="235">
        <f t="shared" si="9"/>
        <v>0</v>
      </c>
      <c r="G66" s="24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1"/>
      <c r="M66" s="221"/>
      <c r="N66" s="221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10"/>
      </c>
      <c r="R66" s="211">
        <f t="shared" si="11"/>
      </c>
      <c r="S66" s="211">
        <f t="shared" si="12"/>
        <v>0</v>
      </c>
      <c r="T66" s="211">
        <f t="shared" si="13"/>
        <v>0</v>
      </c>
      <c r="U66" s="222">
        <f t="shared" si="14"/>
        <v>0</v>
      </c>
      <c r="V66" s="212">
        <f t="shared" si="15"/>
      </c>
      <c r="W66" s="213" t="s">
        <v>54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16"/>
      </c>
    </row>
    <row r="67" spans="1:54" ht="12.75" hidden="1">
      <c r="A67" s="232" t="s">
        <v>54</v>
      </c>
      <c r="B67" s="233"/>
      <c r="C67" s="234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9">
        <f>IF(D67="",,VLOOKUP(D67,D$22:D52,1,0))</f>
        <v>0</v>
      </c>
      <c r="F67" s="235">
        <f t="shared" si="9"/>
        <v>0</v>
      </c>
      <c r="G67" s="24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1"/>
      <c r="M67" s="221"/>
      <c r="N67" s="221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10"/>
      </c>
      <c r="R67" s="211">
        <f t="shared" si="11"/>
      </c>
      <c r="S67" s="211">
        <f t="shared" si="12"/>
        <v>0</v>
      </c>
      <c r="T67" s="211">
        <f t="shared" si="13"/>
        <v>0</v>
      </c>
      <c r="U67" s="222">
        <f t="shared" si="14"/>
        <v>0</v>
      </c>
      <c r="V67" s="212">
        <f t="shared" si="15"/>
      </c>
      <c r="W67" s="213" t="s">
        <v>54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16"/>
      </c>
    </row>
    <row r="68" spans="1:54" ht="12.75" hidden="1">
      <c r="A68" s="232" t="s">
        <v>54</v>
      </c>
      <c r="B68" s="233"/>
      <c r="C68" s="234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9">
        <f>IF(D68="",,VLOOKUP(D68,D$22:D53,1,0))</f>
        <v>0</v>
      </c>
      <c r="F68" s="235">
        <f t="shared" si="9"/>
        <v>0</v>
      </c>
      <c r="G68" s="24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1"/>
      <c r="M68" s="221"/>
      <c r="N68" s="221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10"/>
      </c>
      <c r="R68" s="211">
        <f t="shared" si="11"/>
      </c>
      <c r="S68" s="211">
        <f t="shared" si="12"/>
        <v>0</v>
      </c>
      <c r="T68" s="211">
        <f t="shared" si="13"/>
        <v>0</v>
      </c>
      <c r="U68" s="222">
        <f t="shared" si="14"/>
        <v>0</v>
      </c>
      <c r="V68" s="212">
        <f t="shared" si="15"/>
      </c>
      <c r="W68" s="213" t="s">
        <v>54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16"/>
      </c>
    </row>
    <row r="69" spans="1:54" ht="12.75" hidden="1">
      <c r="A69" s="232" t="s">
        <v>54</v>
      </c>
      <c r="B69" s="233"/>
      <c r="C69" s="234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9">
        <f>IF(D69="",,VLOOKUP(D69,D$22:D54,1,0))</f>
        <v>0</v>
      </c>
      <c r="F69" s="235">
        <f t="shared" si="9"/>
        <v>0</v>
      </c>
      <c r="G69" s="24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1"/>
      <c r="M69" s="221"/>
      <c r="N69" s="221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10"/>
      </c>
      <c r="R69" s="211">
        <f t="shared" si="11"/>
      </c>
      <c r="S69" s="211">
        <f t="shared" si="12"/>
        <v>0</v>
      </c>
      <c r="T69" s="211">
        <f t="shared" si="13"/>
        <v>0</v>
      </c>
      <c r="U69" s="222">
        <f t="shared" si="14"/>
        <v>0</v>
      </c>
      <c r="V69" s="212">
        <f t="shared" si="15"/>
      </c>
      <c r="W69" s="213" t="s">
        <v>54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16"/>
      </c>
    </row>
    <row r="70" spans="1:54" ht="12.75" hidden="1">
      <c r="A70" s="232" t="s">
        <v>54</v>
      </c>
      <c r="B70" s="233"/>
      <c r="C70" s="234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9">
        <f>IF(D70="",,VLOOKUP(D70,D$22:D55,1,0))</f>
        <v>0</v>
      </c>
      <c r="F70" s="235">
        <f t="shared" si="9"/>
        <v>0</v>
      </c>
      <c r="G70" s="24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1"/>
      <c r="M70" s="221"/>
      <c r="N70" s="221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10"/>
      </c>
      <c r="R70" s="211">
        <f t="shared" si="11"/>
      </c>
      <c r="S70" s="211">
        <f t="shared" si="12"/>
        <v>0</v>
      </c>
      <c r="T70" s="211">
        <f t="shared" si="13"/>
        <v>0</v>
      </c>
      <c r="U70" s="222">
        <f t="shared" si="14"/>
        <v>0</v>
      </c>
      <c r="V70" s="212">
        <f t="shared" si="15"/>
      </c>
      <c r="W70" s="213" t="s">
        <v>54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16"/>
      </c>
    </row>
    <row r="71" spans="1:54" ht="12.75" hidden="1">
      <c r="A71" s="232" t="s">
        <v>54</v>
      </c>
      <c r="B71" s="233"/>
      <c r="C71" s="234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9">
        <f>IF(D71="",,VLOOKUP(D71,D$22:D56,1,0))</f>
        <v>0</v>
      </c>
      <c r="F71" s="235">
        <f t="shared" si="9"/>
        <v>0</v>
      </c>
      <c r="G71" s="24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1"/>
      <c r="M71" s="221"/>
      <c r="N71" s="221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10"/>
      </c>
      <c r="R71" s="211">
        <f t="shared" si="11"/>
      </c>
      <c r="S71" s="211">
        <f t="shared" si="12"/>
        <v>0</v>
      </c>
      <c r="T71" s="211">
        <f t="shared" si="13"/>
        <v>0</v>
      </c>
      <c r="U71" s="222">
        <f t="shared" si="14"/>
        <v>0</v>
      </c>
      <c r="V71" s="212">
        <f t="shared" si="15"/>
      </c>
      <c r="W71" s="213" t="s">
        <v>54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16"/>
      </c>
    </row>
    <row r="72" spans="1:54" ht="12.75" hidden="1">
      <c r="A72" s="232" t="s">
        <v>54</v>
      </c>
      <c r="B72" s="233"/>
      <c r="C72" s="234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9">
        <f>IF(D72="",,VLOOKUP(D72,D$22:D57,1,0))</f>
        <v>0</v>
      </c>
      <c r="F72" s="235">
        <f t="shared" si="9"/>
        <v>0</v>
      </c>
      <c r="G72" s="24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1"/>
      <c r="M72" s="221"/>
      <c r="N72" s="221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10"/>
      </c>
      <c r="R72" s="211">
        <f t="shared" si="11"/>
      </c>
      <c r="S72" s="211">
        <f t="shared" si="12"/>
        <v>0</v>
      </c>
      <c r="T72" s="211">
        <f t="shared" si="13"/>
        <v>0</v>
      </c>
      <c r="U72" s="222">
        <f t="shared" si="14"/>
        <v>0</v>
      </c>
      <c r="V72" s="212">
        <f t="shared" si="15"/>
      </c>
      <c r="W72" s="213" t="s">
        <v>54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16"/>
      </c>
    </row>
    <row r="73" spans="1:54" ht="12.75" hidden="1">
      <c r="A73" s="232" t="s">
        <v>54</v>
      </c>
      <c r="B73" s="233"/>
      <c r="C73" s="234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9">
        <f>IF(D73="",,VLOOKUP(D73,D$22:D57,1,0))</f>
        <v>0</v>
      </c>
      <c r="F73" s="235">
        <f t="shared" si="9"/>
        <v>0</v>
      </c>
      <c r="G73" s="24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1"/>
      <c r="M73" s="221"/>
      <c r="N73" s="221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10"/>
      </c>
      <c r="R73" s="211">
        <f t="shared" si="11"/>
      </c>
      <c r="S73" s="211">
        <f t="shared" si="12"/>
        <v>0</v>
      </c>
      <c r="T73" s="211">
        <f t="shared" si="13"/>
        <v>0</v>
      </c>
      <c r="U73" s="222">
        <f t="shared" si="14"/>
        <v>0</v>
      </c>
      <c r="V73" s="212">
        <f t="shared" si="15"/>
      </c>
      <c r="W73" s="213" t="s">
        <v>54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16"/>
      </c>
    </row>
    <row r="74" spans="1:54" ht="12.75" hidden="1">
      <c r="A74" s="232" t="s">
        <v>54</v>
      </c>
      <c r="B74" s="233"/>
      <c r="C74" s="234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9">
        <f>IF(D74="",,VLOOKUP(D74,D$22:D58,1,0))</f>
        <v>0</v>
      </c>
      <c r="F74" s="235">
        <f t="shared" si="9"/>
        <v>0</v>
      </c>
      <c r="G74" s="24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1"/>
      <c r="M74" s="221"/>
      <c r="N74" s="221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10"/>
      </c>
      <c r="R74" s="211">
        <f t="shared" si="11"/>
      </c>
      <c r="S74" s="211">
        <f t="shared" si="12"/>
        <v>0</v>
      </c>
      <c r="T74" s="211">
        <f t="shared" si="13"/>
        <v>0</v>
      </c>
      <c r="U74" s="222">
        <f t="shared" si="14"/>
        <v>0</v>
      </c>
      <c r="V74" s="212">
        <f t="shared" si="15"/>
      </c>
      <c r="W74" s="213" t="s">
        <v>54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16"/>
      </c>
    </row>
    <row r="75" spans="1:54" ht="12.75" hidden="1">
      <c r="A75" s="232" t="s">
        <v>54</v>
      </c>
      <c r="B75" s="233"/>
      <c r="C75" s="234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9">
        <f>IF(D75="",,VLOOKUP(D75,D$22:D59,1,0))</f>
        <v>0</v>
      </c>
      <c r="F75" s="235">
        <f t="shared" si="9"/>
        <v>0</v>
      </c>
      <c r="G75" s="24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1"/>
      <c r="M75" s="221"/>
      <c r="N75" s="221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10"/>
      </c>
      <c r="R75" s="211">
        <f t="shared" si="11"/>
      </c>
      <c r="S75" s="211">
        <f t="shared" si="12"/>
        <v>0</v>
      </c>
      <c r="T75" s="211">
        <f t="shared" si="13"/>
        <v>0</v>
      </c>
      <c r="U75" s="222">
        <f t="shared" si="14"/>
        <v>0</v>
      </c>
      <c r="V75" s="212">
        <f t="shared" si="15"/>
      </c>
      <c r="W75" s="213" t="s">
        <v>54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16"/>
      </c>
    </row>
    <row r="76" spans="1:54" ht="12.75" hidden="1">
      <c r="A76" s="232" t="s">
        <v>54</v>
      </c>
      <c r="B76" s="233"/>
      <c r="C76" s="234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9">
        <f>IF(D76="",,VLOOKUP(D76,D$22:D59,1,0))</f>
        <v>0</v>
      </c>
      <c r="F76" s="235">
        <f t="shared" si="9"/>
        <v>0</v>
      </c>
      <c r="G76" s="24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1"/>
      <c r="M76" s="221"/>
      <c r="N76" s="221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10"/>
      </c>
      <c r="R76" s="211">
        <f t="shared" si="11"/>
      </c>
      <c r="S76" s="211">
        <f t="shared" si="12"/>
        <v>0</v>
      </c>
      <c r="T76" s="211">
        <f t="shared" si="13"/>
        <v>0</v>
      </c>
      <c r="U76" s="222">
        <f t="shared" si="14"/>
        <v>0</v>
      </c>
      <c r="V76" s="212">
        <f t="shared" si="15"/>
      </c>
      <c r="W76" s="213" t="s">
        <v>54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16"/>
      </c>
    </row>
    <row r="77" spans="1:54" ht="12.75" hidden="1">
      <c r="A77" s="232" t="s">
        <v>54</v>
      </c>
      <c r="B77" s="233"/>
      <c r="C77" s="234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9">
        <f>IF(D77="",,VLOOKUP(D77,D$22:D75,1,0))</f>
        <v>0</v>
      </c>
      <c r="F77" s="235">
        <f t="shared" si="9"/>
        <v>0</v>
      </c>
      <c r="G77" s="24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1"/>
      <c r="M77" s="221"/>
      <c r="N77" s="221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10"/>
      </c>
      <c r="R77" s="211">
        <f t="shared" si="11"/>
      </c>
      <c r="S77" s="211">
        <f t="shared" si="12"/>
        <v>0</v>
      </c>
      <c r="T77" s="211">
        <f t="shared" si="13"/>
        <v>0</v>
      </c>
      <c r="U77" s="222">
        <f t="shared" si="14"/>
        <v>0</v>
      </c>
      <c r="V77" s="212">
        <f t="shared" si="15"/>
      </c>
      <c r="W77" s="213" t="s">
        <v>54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16"/>
      </c>
    </row>
    <row r="78" spans="1:54" ht="12.75" hidden="1">
      <c r="A78" s="232" t="s">
        <v>54</v>
      </c>
      <c r="B78" s="233"/>
      <c r="C78" s="234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9">
        <f>IF(D78="",,VLOOKUP(D78,D$22:D75,1,0))</f>
        <v>0</v>
      </c>
      <c r="F78" s="235">
        <f t="shared" si="9"/>
        <v>0</v>
      </c>
      <c r="G78" s="24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1"/>
      <c r="M78" s="221"/>
      <c r="N78" s="221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10"/>
      </c>
      <c r="R78" s="211">
        <f t="shared" si="11"/>
      </c>
      <c r="S78" s="211">
        <f t="shared" si="12"/>
        <v>0</v>
      </c>
      <c r="T78" s="211">
        <f t="shared" si="13"/>
        <v>0</v>
      </c>
      <c r="U78" s="222">
        <f t="shared" si="14"/>
        <v>0</v>
      </c>
      <c r="V78" s="212">
        <f t="shared" si="15"/>
      </c>
      <c r="W78" s="213" t="s">
        <v>54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16"/>
      </c>
    </row>
    <row r="79" spans="1:54" ht="12.75" hidden="1">
      <c r="A79" s="232" t="s">
        <v>54</v>
      </c>
      <c r="B79" s="233"/>
      <c r="C79" s="234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9">
        <f>IF(D79="",,VLOOKUP(D79,D$22:D75,1,0))</f>
        <v>0</v>
      </c>
      <c r="F79" s="235">
        <f t="shared" si="9"/>
        <v>0</v>
      </c>
      <c r="G79" s="24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1"/>
      <c r="M79" s="221"/>
      <c r="N79" s="221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10"/>
      </c>
      <c r="R79" s="211">
        <f t="shared" si="11"/>
      </c>
      <c r="S79" s="211">
        <f t="shared" si="12"/>
        <v>0</v>
      </c>
      <c r="T79" s="211">
        <f t="shared" si="13"/>
        <v>0</v>
      </c>
      <c r="U79" s="222">
        <f t="shared" si="14"/>
        <v>0</v>
      </c>
      <c r="V79" s="212">
        <f t="shared" si="15"/>
      </c>
      <c r="W79" s="213" t="s">
        <v>54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16"/>
      </c>
    </row>
    <row r="80" spans="1:54" ht="12.75" hidden="1">
      <c r="A80" s="232" t="s">
        <v>54</v>
      </c>
      <c r="B80" s="233"/>
      <c r="C80" s="234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9">
        <f>IF(D80="",,VLOOKUP(D80,D$22:D79,1,0))</f>
        <v>0</v>
      </c>
      <c r="F80" s="235">
        <f t="shared" si="9"/>
        <v>0</v>
      </c>
      <c r="G80" s="24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1"/>
      <c r="M80" s="221"/>
      <c r="N80" s="221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10"/>
      </c>
      <c r="R80" s="211">
        <f t="shared" si="11"/>
      </c>
      <c r="S80" s="211">
        <f t="shared" si="12"/>
        <v>0</v>
      </c>
      <c r="T80" s="211">
        <f t="shared" si="13"/>
        <v>0</v>
      </c>
      <c r="U80" s="222">
        <f t="shared" si="14"/>
        <v>0</v>
      </c>
      <c r="V80" s="212">
        <f t="shared" si="15"/>
      </c>
      <c r="W80" s="213" t="s">
        <v>54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16"/>
      </c>
    </row>
    <row r="81" spans="1:54" ht="12.75" hidden="1">
      <c r="A81" s="232" t="s">
        <v>54</v>
      </c>
      <c r="B81" s="233"/>
      <c r="C81" s="234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9">
        <f>IF(D81="",,VLOOKUP(D81,D$21:D80,1,0))</f>
        <v>0</v>
      </c>
      <c r="F81" s="235">
        <f t="shared" si="9"/>
        <v>0</v>
      </c>
      <c r="G81" s="24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7"/>
      <c r="M81" s="237"/>
      <c r="N81" s="237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10"/>
      </c>
      <c r="R81" s="211">
        <f t="shared" si="11"/>
      </c>
      <c r="S81" s="211">
        <f t="shared" si="12"/>
        <v>0</v>
      </c>
      <c r="T81" s="211">
        <f t="shared" si="13"/>
        <v>0</v>
      </c>
      <c r="U81" s="222">
        <f t="shared" si="14"/>
        <v>0</v>
      </c>
      <c r="V81" s="212">
        <f t="shared" si="15"/>
      </c>
      <c r="W81" s="213" t="s">
        <v>54</v>
      </c>
      <c r="X81" s="243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16"/>
      </c>
    </row>
    <row r="82" spans="1:54" ht="12.75" hidden="1">
      <c r="A82" s="244" t="s">
        <v>54</v>
      </c>
      <c r="B82" s="245"/>
      <c r="C82" s="246"/>
      <c r="D82" s="24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8">
        <f>IF(D82="",,VLOOKUP(D82,D$20:D80,1,0))</f>
        <v>0</v>
      </c>
      <c r="F82" s="249">
        <f t="shared" si="9"/>
        <v>0</v>
      </c>
      <c r="G82" s="25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3"/>
      <c r="M82" s="253"/>
      <c r="N82" s="253"/>
      <c r="O82" s="254"/>
      <c r="P82" s="25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10"/>
      </c>
      <c r="R82" s="211">
        <f t="shared" si="11"/>
      </c>
      <c r="S82" s="211">
        <f t="shared" si="12"/>
        <v>0</v>
      </c>
      <c r="T82" s="211">
        <f t="shared" si="13"/>
        <v>0</v>
      </c>
      <c r="U82" s="222">
        <f t="shared" si="14"/>
        <v>0</v>
      </c>
      <c r="V82" s="212">
        <f t="shared" si="15"/>
      </c>
      <c r="W82" s="256" t="s">
        <v>54</v>
      </c>
      <c r="X82" s="257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16"/>
      </c>
    </row>
    <row r="83" spans="1:30" ht="15" hidden="1">
      <c r="A83" s="258" t="s">
        <v>87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1"/>
      <c r="N83" s="211"/>
      <c r="O83" s="211"/>
      <c r="P83" s="259"/>
      <c r="Q83" s="259"/>
      <c r="R83" s="259"/>
      <c r="S83" s="259"/>
      <c r="T83" s="8"/>
      <c r="U83" s="8"/>
      <c r="V83" s="259"/>
      <c r="W83" s="259"/>
      <c r="X83" s="259"/>
      <c r="Y83" s="277"/>
      <c r="Z83" s="277"/>
      <c r="AA83" s="260"/>
      <c r="AB83" s="261"/>
      <c r="AC83" s="261"/>
      <c r="AD83" s="261"/>
    </row>
    <row r="84" spans="1:30" ht="12.75" hidden="1">
      <c r="A84" s="262" t="str">
        <f>A3</f>
        <v>DOUX</v>
      </c>
      <c r="B84" s="263" t="str">
        <f>C3</f>
        <v>Doux à Labathie d'Andaure</v>
      </c>
      <c r="C84" s="264">
        <f>A4</f>
        <v>41443</v>
      </c>
      <c r="D84" s="265">
        <f>IF(ISERROR(SUM($T$23:$T$82)/SUM($U$23:$U$82)),"",SUM($T$23:$T$82)/SUM($U$23:$U$82))</f>
        <v>12.428571428571429</v>
      </c>
      <c r="E84" s="266">
        <f>N13</f>
        <v>9</v>
      </c>
      <c r="F84" s="263">
        <f>N14</f>
        <v>7</v>
      </c>
      <c r="G84" s="263">
        <f>N15</f>
        <v>4</v>
      </c>
      <c r="H84" s="263">
        <f>N16</f>
        <v>3</v>
      </c>
      <c r="I84" s="263">
        <f>N17</f>
        <v>0</v>
      </c>
      <c r="J84" s="267">
        <f>N8</f>
        <v>11.571428571428571</v>
      </c>
      <c r="K84" s="265">
        <f>N9</f>
        <v>1.7612611437054218</v>
      </c>
      <c r="L84" s="266">
        <f>N10</f>
        <v>10</v>
      </c>
      <c r="M84" s="266">
        <f>N11</f>
        <v>15</v>
      </c>
      <c r="N84" s="265">
        <f>O8</f>
        <v>1.4285714285714286</v>
      </c>
      <c r="O84" s="265">
        <f>O9</f>
        <v>0.4948716593053935</v>
      </c>
      <c r="P84" s="266">
        <f>O10</f>
        <v>1</v>
      </c>
      <c r="Q84" s="266">
        <f>O11</f>
        <v>2</v>
      </c>
      <c r="R84" s="266">
        <f>F21</f>
        <v>2.7909999999999995</v>
      </c>
      <c r="S84" s="266">
        <f>K11</f>
        <v>0</v>
      </c>
      <c r="T84" s="266">
        <f>K12</f>
        <v>3</v>
      </c>
      <c r="U84" s="266">
        <f>K13</f>
        <v>4</v>
      </c>
      <c r="V84" s="268">
        <f>K14</f>
        <v>0</v>
      </c>
      <c r="W84" s="269">
        <f>K15</f>
        <v>1</v>
      </c>
      <c r="Z84" s="270"/>
      <c r="AA84" s="270"/>
      <c r="AB84" s="261"/>
      <c r="AC84" s="261"/>
      <c r="AD84" s="261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1" t="s">
        <v>88</v>
      </c>
      <c r="R86" s="8"/>
      <c r="S86" s="212"/>
      <c r="T86" s="8"/>
      <c r="U86" s="8"/>
      <c r="V86" s="8"/>
    </row>
    <row r="87" spans="16:22" ht="12.75" hidden="1">
      <c r="P87" s="8"/>
      <c r="Q87" s="8" t="s">
        <v>89</v>
      </c>
      <c r="R87" s="8"/>
      <c r="S87" s="212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12">
        <f>VLOOKUP((S87),($S$23:$U$82),2,0)</f>
        <v>36</v>
      </c>
      <c r="T88" s="8"/>
      <c r="U88" s="8"/>
      <c r="V88" s="8"/>
    </row>
    <row r="89" spans="17:20" ht="12.75" hidden="1">
      <c r="Q89" s="8" t="s">
        <v>91</v>
      </c>
      <c r="R89" s="8"/>
      <c r="S89" s="212">
        <f>VLOOKUP((S87),($S$23:$U$82),3,0)</f>
        <v>3</v>
      </c>
      <c r="T89" s="8"/>
    </row>
    <row r="90" spans="17:20" ht="12.75">
      <c r="Q90" s="8" t="s">
        <v>92</v>
      </c>
      <c r="R90" s="8"/>
      <c r="S90" s="272">
        <f>IF(ISERROR(SUM($T$23:$T$82)/SUM($U$23:$U$82)),"",(SUM($T$23:$T$82)-S88)/(SUM($U$23:$U$82)-S89))</f>
        <v>12.545454545454545</v>
      </c>
      <c r="T90" s="8"/>
    </row>
    <row r="91" spans="17:21" ht="12.75">
      <c r="Q91" s="211" t="s">
        <v>93</v>
      </c>
      <c r="R91" s="211"/>
      <c r="S91" s="211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61"/>
    </row>
    <row r="92" spans="17:20" ht="12.75">
      <c r="Q92" s="8" t="s">
        <v>94</v>
      </c>
      <c r="R92" s="8"/>
      <c r="S92" s="8">
        <f>MATCH(S87,$S$23:$S$82,0)</f>
        <v>7</v>
      </c>
      <c r="T92" s="8"/>
    </row>
    <row r="93" spans="17:20" ht="12.75">
      <c r="Q93" s="211" t="s">
        <v>95</v>
      </c>
      <c r="R93" s="8"/>
      <c r="S93" s="211" t="str">
        <f>INDEX($A$23:$A$82,$S$92)</f>
        <v>RHYRIP</v>
      </c>
      <c r="T93" s="8"/>
    </row>
    <row r="94" ht="12.75">
      <c r="S94" s="261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32:A82">
    <cfRule type="expression" priority="5" dxfId="1" stopIfTrue="1">
      <formula>ISTEXT($E32)</formula>
    </cfRule>
  </conditionalFormatting>
  <conditionalFormatting sqref="H23:J82">
    <cfRule type="cellIs" priority="6" dxfId="0" operator="equal" stopIfTrue="1">
      <formula>"x"</formula>
    </cfRule>
  </conditionalFormatting>
  <conditionalFormatting sqref="W23:X23">
    <cfRule type="cellIs" priority="7" dxfId="1" operator="equal" stopIfTrue="1">
      <formula>"DEJA SAISI !"</formula>
    </cfRule>
    <cfRule type="cellIs" priority="8" dxfId="3" operator="equal" stopIfTrue="1">
      <formula>"non répertorié"</formula>
    </cfRule>
    <cfRule type="expression" priority="9" dxfId="2" stopIfTrue="1">
      <formula>AND(ISTEXT($G$23),ISBLANK($I$23))</formula>
    </cfRule>
  </conditionalFormatting>
  <conditionalFormatting sqref="L27:O82 O23:O26 K23:K82">
    <cfRule type="cellIs" priority="10" dxfId="3" operator="equal" stopIfTrue="1">
      <formula>"code non répertorié ou synonyme"</formula>
    </cfRule>
    <cfRule type="expression" priority="11" dxfId="2" stopIfTrue="1">
      <formula>AND($I23="",$J23="")</formula>
    </cfRule>
    <cfRule type="cellIs" priority="12" dxfId="1" operator="equal" stopIfTrue="1">
      <formula>"DEJA SAISI !"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5" operator="notBetween" stopIfTrue="1">
      <formula>"(organisme)"</formula>
      <formula>"(organisme)"</formula>
    </cfRule>
  </conditionalFormatting>
  <conditionalFormatting sqref="A3">
    <cfRule type="cellIs" priority="15" dxfId="2" operator="between" stopIfTrue="1">
      <formula>"(cours d'eau)"</formula>
      <formula>"(cours d'eau)"</formula>
    </cfRule>
    <cfRule type="cellIs" priority="16" dxfId="5" operator="notBetween" stopIfTrue="1">
      <formula>"(cours d'eau)"</formula>
      <formula>"(cours d'eau)"</formula>
    </cfRule>
  </conditionalFormatting>
  <conditionalFormatting sqref="A4">
    <cfRule type="cellIs" priority="17" dxfId="2" operator="between" stopIfTrue="1">
      <formula>"(Date)"</formula>
      <formula>"(Date)"</formula>
    </cfRule>
    <cfRule type="cellIs" priority="18" dxfId="5" operator="notBetween" stopIfTrue="1">
      <formula>"(Date)"</formula>
      <formula>"(Date)"</formula>
    </cfRule>
  </conditionalFormatting>
  <conditionalFormatting sqref="C2">
    <cfRule type="cellIs" priority="19" dxfId="2" operator="between" stopIfTrue="1">
      <formula>"(Opérateurs)"</formula>
      <formula>"(Opérateurs)"</formula>
    </cfRule>
    <cfRule type="cellIs" priority="20" dxfId="5" operator="notBetween" stopIfTrue="1">
      <formula>"(Opérateurs)"</formula>
      <formula>"(Opérateurs)"</formula>
    </cfRule>
  </conditionalFormatting>
  <conditionalFormatting sqref="C3">
    <cfRule type="cellIs" priority="21" dxfId="2" operator="between" stopIfTrue="1">
      <formula>"(Nom de la station)"</formula>
      <formula>"(Nom de la station)"</formula>
    </cfRule>
    <cfRule type="cellIs" priority="22" dxfId="5" operator="notBetween" stopIfTrue="1">
      <formula>"(Nom de la station)"</formula>
      <formula>"(Nom de la station)"</formula>
    </cfRule>
  </conditionalFormatting>
  <conditionalFormatting sqref="K3">
    <cfRule type="cellIs" priority="23" dxfId="2" operator="between" stopIfTrue="1">
      <formula>"(Code station)"</formula>
      <formula>"(Code station)"</formula>
    </cfRule>
    <cfRule type="cellIs" priority="24" dxfId="5" operator="notBetween" stopIfTrue="1">
      <formula>"(Code station)"</formula>
      <formula>"(Code station)"</formula>
    </cfRule>
  </conditionalFormatting>
  <conditionalFormatting sqref="M3">
    <cfRule type="cellIs" priority="25" dxfId="2" operator="between" stopIfTrue="1">
      <formula>"(Dossier, type réseau)"</formula>
      <formula>"(Dossier, type réseau)"</formula>
    </cfRule>
    <cfRule type="cellIs" priority="26" dxfId="5" operator="notBetween" stopIfTrue="1">
      <formula>"(Dossier, type réseau)"</formula>
      <formula>"(Dossier, type réseau)"</formula>
    </cfRule>
  </conditionalFormatting>
  <conditionalFormatting sqref="K23:K82">
    <cfRule type="cellIs" priority="4" dxfId="4" operator="equal" stopIfTrue="1">
      <formula>"Remplir le champs 'Nouveau taxa' svp."</formula>
    </cfRule>
  </conditionalFormatting>
  <conditionalFormatting sqref="P23:P82">
    <cfRule type="cellIs" priority="1" dxfId="3" operator="equal" stopIfTrue="1">
      <formula>"code non répertorié ou synonyme"</formula>
    </cfRule>
    <cfRule type="expression" priority="2" dxfId="2" stopIfTrue="1">
      <formula>AND($I23="",$J23="")</formula>
    </cfRule>
    <cfRule type="cellIs" priority="3" dxfId="1" operator="equal" stopIfTrue="1">
      <formula>"DEJA SAISI !"</formula>
    </cfRule>
  </conditionalFormatting>
  <conditionalFormatting sqref="B23:C31">
    <cfRule type="cellIs" priority="27" dxfId="0" operator="equal" stopIfTrue="1">
      <formula>0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2013-12-03T16:19:35Z</dcterms:created>
  <dcterms:modified xsi:type="dcterms:W3CDTF">2013-12-03T16:20:21Z</dcterms:modified>
  <cp:category/>
  <cp:version/>
  <cp:contentType/>
  <cp:contentStatus/>
</cp:coreProperties>
</file>