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<sst xmlns="http://schemas.openxmlformats.org/spreadsheetml/2006/main" count="217" uniqueCount="93">
  <si>
    <t>Relevés floristiques aquatiques - IBMR</t>
  </si>
  <si>
    <t>modèle Irstea-GIS</t>
  </si>
  <si>
    <t>SAGE ENVIRONNEMENT</t>
  </si>
  <si>
    <t>MSCHNEIDER LBOURGOIN</t>
  </si>
  <si>
    <t>BOISSE</t>
  </si>
  <si>
    <t>BOISSE A SAINT VINCENT DE LA COMMANDERIE</t>
  </si>
  <si>
    <t>06106665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</si>
  <si>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</si>
  <si>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</si>
  <si>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</si>
  <si>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</si>
  <si>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</si>
  <si>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</si>
  <si>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</si>
  <si>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</si>
  <si>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</si>
  <si>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CRAFIL</t>
  </si>
  <si>
    <t>Faciès dominant</t>
  </si>
  <si>
    <t>pl. courant</t>
  </si>
  <si>
    <t>pl. lent</t>
  </si>
  <si>
    <t>niveau trophique</t>
  </si>
  <si>
    <t>très 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</si>
  <si>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</si>
  <si>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</si>
  <si>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</si>
  <si>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</si>
  <si>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</si>
  <si>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</si>
  <si>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</si>
  <si>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</si>
  <si>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</si>
  <si>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</si>
  <si>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</si>
  <si>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</si>
  <si>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</si>
  <si>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</si>
  <si>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</si>
  <si>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</si>
  <si>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</si>
  <si>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</si>
  <si>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</si>
  <si>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</si>
  <si>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</si>
  <si>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</si>
  <si>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</si>
  <si>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</si>
  <si>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</si>
  <si>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</si>
  <si>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</si>
  <si>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</si>
  <si>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</si>
  <si>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</si>
  <si>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</si>
  <si>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</si>
  <si>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</si>
  <si>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</si>
  <si>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</si>
  <si>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</si>
  <si>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</si>
  <si>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</si>
  <si>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</si>
  <si>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</si>
  <si>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</si>
  <si>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</si>
  <si>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</si>
  <si>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</si>
  <si>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</si>
  <si>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</si>
  <si>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</si>
  <si>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</si>
  <si>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</si>
  <si>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</si>
  <si>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</si>
  <si>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</si>
  <si>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</si>
  <si>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</si>
  <si>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</si>
  <si>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</si>
  <si>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</si>
  <si>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</si>
  <si>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</si>
  <si>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PELEND</t>
  </si>
  <si>
    <t xml:space="preserve"> -</t>
  </si>
  <si>
    <t>FISCRA</t>
  </si>
  <si>
    <t>RHYRIP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</si>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</sst>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BOIVI_06-07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N34" sqref="N34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42191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15</v>
      </c>
      <c r="N5" s="50"/>
      <c r="O5" s="51" t="s">
        <v>16</v>
      </c>
      <c r="P5" s="52">
        <v>12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1</v>
      </c>
      <c r="P6" s="64" t="s">
        <v>22</v>
      </c>
      <c r="Q6" s="65"/>
      <c r="R6" s="5"/>
      <c r="S6" s="5"/>
      <c r="T6" s="5"/>
      <c r="U6" s="5"/>
      <c r="V6" s="5"/>
      <c r="W6" s="20"/>
    </row>
    <row r="7" spans="1:23" ht="12.75">
      <c r="A7" s="66" t="s">
        <v>23</v>
      </c>
      <c r="B7" s="67">
        <v>95</v>
      </c>
      <c r="C7" s="68">
        <v>5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24</v>
      </c>
      <c r="P7" s="77" t="s">
        <v>25</v>
      </c>
      <c r="Q7" s="78"/>
      <c r="R7" s="5"/>
      <c r="S7" s="5"/>
      <c r="T7" s="5"/>
      <c r="U7" s="5"/>
      <c r="V7" s="5"/>
      <c r="W7" s="20"/>
    </row>
    <row r="8" spans="1:23" ht="12.75">
      <c r="A8" s="79" t="s">
        <v>26</v>
      </c>
      <c r="B8" s="80"/>
      <c r="C8" s="81"/>
      <c r="D8" s="56"/>
      <c r="E8" s="56"/>
      <c r="F8" s="82" t="s">
        <v>27</v>
      </c>
      <c r="G8" s="83"/>
      <c r="H8" s="56"/>
      <c r="I8" s="5"/>
      <c r="J8" s="71"/>
      <c r="K8" s="72"/>
      <c r="L8" s="73"/>
      <c r="M8" s="74"/>
      <c r="N8" s="84" t="s">
        <v>28</v>
      </c>
      <c r="O8" s="85">
        <f>IF(ISERROR(AVERAGE(J23:J82))," ",AVERAGE(J23:J82))</f>
        <v>14</v>
      </c>
      <c r="P8" s="85">
        <f>IF(ISERROR(AVERAGE(K23:K82)),"  ",AVERAGE(K23:K82))</f>
        <v>2</v>
      </c>
      <c r="Q8" s="86"/>
      <c r="R8" s="5"/>
      <c r="S8" s="5"/>
      <c r="T8" s="5"/>
      <c r="U8" s="5"/>
      <c r="V8" s="5"/>
      <c r="W8" s="20"/>
    </row>
    <row r="9" spans="1:23" ht="12.75">
      <c r="A9" s="40" t="s">
        <v>29</v>
      </c>
      <c r="B9" s="87">
        <v>1.16</v>
      </c>
      <c r="C9" s="88">
        <v>0.21</v>
      </c>
      <c r="D9" s="89"/>
      <c r="E9" s="89"/>
      <c r="F9" s="90">
        <f>($B9*$B$7+$C9*$C$7)/100</f>
        <v>1.1124999999999998</v>
      </c>
      <c r="G9" s="91"/>
      <c r="H9" s="43"/>
      <c r="I9" s="5"/>
      <c r="J9" s="92"/>
      <c r="K9" s="93"/>
      <c r="L9" s="73"/>
      <c r="M9" s="94"/>
      <c r="N9" s="84" t="s">
        <v>30</v>
      </c>
      <c r="O9" s="85">
        <f>IF(ISERROR(STDEVP(J23:J82))," ",STDEVP(J23:J82))</f>
        <v>2.8284271247461903</v>
      </c>
      <c r="P9" s="85">
        <f>IF(ISERROR(STDEVP(K23:K82)),"  ",STDEVP(K23:K82))</f>
        <v>0.816496580927726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31</v>
      </c>
      <c r="B10" s="95" t="s">
        <v>32</v>
      </c>
      <c r="C10" s="96" t="s">
        <v>32</v>
      </c>
      <c r="D10" s="89"/>
      <c r="E10" s="89"/>
      <c r="F10" s="90"/>
      <c r="G10" s="91"/>
      <c r="H10" s="56"/>
      <c r="I10" s="5"/>
      <c r="J10" s="97"/>
      <c r="K10" s="98" t="s">
        <v>33</v>
      </c>
      <c r="L10" s="99"/>
      <c r="M10" s="100"/>
      <c r="N10" s="84" t="s">
        <v>34</v>
      </c>
      <c r="O10" s="101">
        <f>MIN(J23:J82)</f>
        <v>12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35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36</v>
      </c>
      <c r="K11" s="109"/>
      <c r="L11" s="110">
        <f>COUNTIF($G$23:$G$82,"=HET")</f>
        <v>0</v>
      </c>
      <c r="M11" s="111"/>
      <c r="N11" s="84" t="s">
        <v>37</v>
      </c>
      <c r="O11" s="101">
        <f>MAX(J23:J82)</f>
        <v>18</v>
      </c>
      <c r="P11" s="101">
        <f>MAX(K23:K82)</f>
        <v>3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38</v>
      </c>
      <c r="B12" s="113"/>
      <c r="C12" s="114"/>
      <c r="D12" s="89"/>
      <c r="E12" s="89"/>
      <c r="F12" s="106">
        <f>($B12*$B$7+$C12*$C$7)/100</f>
        <v>0</v>
      </c>
      <c r="G12" s="107"/>
      <c r="H12" s="56"/>
      <c r="I12" s="5"/>
      <c r="J12" s="108" t="s">
        <v>39</v>
      </c>
      <c r="K12" s="109"/>
      <c r="L12" s="110">
        <f>COUNTIF($G$23:$G$82,"=ALG")</f>
        <v>0</v>
      </c>
      <c r="M12" s="111"/>
      <c r="N12" s="115"/>
      <c r="O12" s="116" t="s">
        <v>33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40</v>
      </c>
      <c r="B13" s="113">
        <v>1.16</v>
      </c>
      <c r="C13" s="114">
        <v>0.21</v>
      </c>
      <c r="D13" s="89"/>
      <c r="E13" s="89"/>
      <c r="F13" s="106">
        <f>($B13*$B$7+$C13*$C$7)/100</f>
        <v>1.1124999999999998</v>
      </c>
      <c r="G13" s="107"/>
      <c r="H13" s="56"/>
      <c r="I13" s="5"/>
      <c r="J13" s="119" t="s">
        <v>41</v>
      </c>
      <c r="K13" s="109"/>
      <c r="L13" s="110">
        <f>COUNTIF($G$23:$G$82,"=BRm")+COUNTIF($G$23:$G$82,"=BRh")</f>
        <v>4</v>
      </c>
      <c r="M13" s="111"/>
      <c r="N13" s="120" t="s">
        <v>42</v>
      </c>
      <c r="O13" s="121">
        <f>COUNTIF(F23:F82,"&gt;0")</f>
        <v>4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43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44</v>
      </c>
      <c r="K14" s="109"/>
      <c r="L14" s="110">
        <f>COUNTIF($G$23:$G$82,"=PTE")+COUNTIF($G$23:$G$82,"=LIC")</f>
        <v>0</v>
      </c>
      <c r="M14" s="111"/>
      <c r="N14" s="123" t="s">
        <v>45</v>
      </c>
      <c r="O14" s="124">
        <f>COUNTIF($J$23:$J$82,"&gt;-1")</f>
        <v>3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46</v>
      </c>
      <c r="B15" s="127"/>
      <c r="C15" s="128"/>
      <c r="D15" s="89"/>
      <c r="E15" s="89"/>
      <c r="F15" s="106">
        <f>($B15*$B$7+$C15*$C$7)/100</f>
        <v>0</v>
      </c>
      <c r="G15" s="107"/>
      <c r="H15" s="56"/>
      <c r="I15" s="5"/>
      <c r="J15" s="119" t="s">
        <v>47</v>
      </c>
      <c r="K15" s="109"/>
      <c r="L15" s="110">
        <f>(COUNTIF($G$23:$G$82,"=PHy"))+(COUNTIF($G$23:$G$82,"=PHe"))+(COUNTIF($G$23:$G$82,"=PHg"))+(COUNTIF($G$23:$G$82,"=PHx"))</f>
        <v>0</v>
      </c>
      <c r="M15" s="111"/>
      <c r="N15" s="120" t="s">
        <v>48</v>
      </c>
      <c r="O15" s="121">
        <f>COUNTIF(K23:K82,"=1")</f>
        <v>1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49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50</v>
      </c>
      <c r="O16" s="121">
        <f>COUNTIF(K23:K82,"=2")</f>
        <v>1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51</v>
      </c>
      <c r="B17" s="113">
        <v>1.16</v>
      </c>
      <c r="C17" s="114">
        <v>0.21</v>
      </c>
      <c r="D17" s="89"/>
      <c r="E17" s="89"/>
      <c r="F17" s="133"/>
      <c r="G17" s="134">
        <f>($B17*$B$7+$C17*$C$7)/100</f>
        <v>1.1124999999999998</v>
      </c>
      <c r="H17" s="56"/>
      <c r="I17" s="5"/>
      <c r="J17" s="135"/>
      <c r="K17" s="136"/>
      <c r="L17" s="137" t="s">
        <v>52</v>
      </c>
      <c r="M17" s="138">
        <f>IF(ISERROR((O13-(COUNTIF(J23:J82,"nc")))/O13),"-",(O13-(COUNTIF(J23:J82,"nc")))/O13)</f>
        <v>0.75</v>
      </c>
      <c r="N17" s="120" t="s">
        <v>53</v>
      </c>
      <c r="O17" s="121">
        <f>COUNTIF(K23:K82,"=3")</f>
        <v>1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54</v>
      </c>
      <c r="B18" s="142"/>
      <c r="C18" s="143"/>
      <c r="D18" s="89"/>
      <c r="E18" s="144" t="s">
        <v>55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56</v>
      </c>
      <c r="X18" s="9" t="s">
        <v>56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1.1124999999999998</v>
      </c>
      <c r="G19" s="157">
        <f>SUM(G16:G18)</f>
        <v>1.1124999999999998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56</v>
      </c>
      <c r="X19" s="9" t="s">
        <v>56</v>
      </c>
    </row>
    <row r="20" spans="1:23" ht="12.75">
      <c r="A20" s="165" t="s">
        <v>57</v>
      </c>
      <c r="B20" s="166">
        <f>SUM(B23:B62)</f>
        <v>1.1600000000000001</v>
      </c>
      <c r="C20" s="167">
        <f>SUM(C23:C62)</f>
        <v>0.21000000000000002</v>
      </c>
      <c r="D20" s="168"/>
      <c r="E20" s="169" t="s">
        <v>55</v>
      </c>
      <c r="F20" s="170">
        <f>($B20*$B$7+$C20*$C$7)/100</f>
        <v>1.1125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58</v>
      </c>
      <c r="B21" s="178">
        <f>B20*B7/100</f>
        <v>1.102</v>
      </c>
      <c r="C21" s="178">
        <f>C20*C7/100</f>
        <v>0.0105</v>
      </c>
      <c r="D21" s="179" t="s">
        <v>59</v>
      </c>
      <c r="E21" s="180"/>
      <c r="F21" s="181">
        <f>B21+C21</f>
        <v>1.1125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60</v>
      </c>
    </row>
    <row r="22" spans="1:26" ht="12.75">
      <c r="A22" s="190" t="s">
        <v>61</v>
      </c>
      <c r="B22" s="191" t="s">
        <v>62</v>
      </c>
      <c r="C22" s="191" t="s">
        <v>62</v>
      </c>
      <c r="D22" s="192"/>
      <c r="E22" s="193"/>
      <c r="F22" s="194" t="s">
        <v>63</v>
      </c>
      <c r="G22" s="195" t="s">
        <v>64</v>
      </c>
      <c r="H22" s="89" t="s">
        <v>65</v>
      </c>
      <c r="I22" s="5" t="s">
        <v>66</v>
      </c>
      <c r="J22" s="196" t="s">
        <v>67</v>
      </c>
      <c r="K22" s="196" t="s">
        <v>68</v>
      </c>
      <c r="L22" s="197" t="s">
        <v>69</v>
      </c>
      <c r="M22" s="197"/>
      <c r="N22" s="197"/>
      <c r="O22" s="197"/>
      <c r="P22" s="189" t="s">
        <v>70</v>
      </c>
      <c r="Q22" s="198" t="s">
        <v>71</v>
      </c>
      <c r="R22" s="199" t="s">
        <v>72</v>
      </c>
      <c r="S22" s="200" t="s">
        <v>73</v>
      </c>
      <c r="T22" s="201" t="s">
        <v>74</v>
      </c>
      <c r="U22" s="201" t="s">
        <v>75</v>
      </c>
      <c r="V22" s="202" t="s">
        <v>76</v>
      </c>
      <c r="W22" s="203" t="s">
        <v>77</v>
      </c>
      <c r="X22" s="204" t="s">
        <v>78</v>
      </c>
      <c r="Y22" s="205" t="s">
        <v>79</v>
      </c>
      <c r="Z22" s="205" t="s">
        <v>80</v>
      </c>
    </row>
    <row r="23" spans="1:26" ht="12.75">
      <c r="A23" s="206" t="s">
        <v>81</v>
      </c>
      <c r="B23" s="207">
        <v>0.01</v>
      </c>
      <c r="C23" s="208">
        <v>0.01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Pellia endiviifolia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0.01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BRh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4</v>
      </c>
      <c r="I23" s="5">
        <f aca="true" t="shared" si="1" ref="I23:I82">IF(A23="","",1)</f>
        <v>1</v>
      </c>
      <c r="J23" s="214" t="str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nc</v>
      </c>
      <c r="K23" s="214" t="str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nc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Pellia endiviifolia</v>
      </c>
      <c r="M23" s="216"/>
      <c r="N23" s="216"/>
      <c r="O23" s="216"/>
      <c r="P23" s="217" t="s">
        <v>82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1197</v>
      </c>
      <c r="R23" s="219">
        <f aca="true" t="shared" si="2" ref="R23:R82">IF(ISTEXT(H23),"",(B23*$B$7/100)+(C23*$C$7/100))</f>
        <v>0.010000000000000002</v>
      </c>
      <c r="S23" s="220">
        <f aca="true" t="shared" si="3" ref="S23:S82">IF(OR(ISTEXT(H23),R23=0),"",IF(R23&lt;0.1,1,IF(R23&lt;1,2,IF(R23&lt;10,3,IF(R23&lt;50,4,IF(R23&gt;=50,5,""))))))</f>
        <v>1</v>
      </c>
      <c r="T23" s="220">
        <f aca="true" t="shared" si="4" ref="T23:T82">IF(ISERROR(S23*J23),0,S23*J23)</f>
        <v>0</v>
      </c>
      <c r="U23" s="220">
        <f aca="true" t="shared" si="5" ref="U23:U82">IF(ISERROR(S23*J23*K23),0,S23*J23*K23)</f>
        <v>0</v>
      </c>
      <c r="V23" s="220">
        <f aca="true" t="shared" si="6" ref="V23:V82">IF(ISERROR(S23*K23),0,S23*K23)</f>
        <v>0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PELEND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167</v>
      </c>
    </row>
    <row r="24" spans="1:26" ht="12.75">
      <c r="A24" s="224" t="s">
        <v>16</v>
      </c>
      <c r="B24" s="225">
        <v>0.15000000000000002</v>
      </c>
      <c r="C24" s="226">
        <v>0.10000000000000002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Cratoneuron filicinum</v>
      </c>
      <c r="E24" s="228" t="e">
        <f>IF(D24="",,VLOOKUP(D24,D$22:D23,1,0))</f>
        <v>#N/A</v>
      </c>
      <c r="F24" s="229">
        <f t="shared" si="0"/>
        <v>0.14750000000000002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BRm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5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18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3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Cratoneuron filicinum</v>
      </c>
      <c r="M24" s="233"/>
      <c r="N24" s="233"/>
      <c r="O24" s="233"/>
      <c r="P24" s="234" t="s">
        <v>82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1233</v>
      </c>
      <c r="R24" s="219">
        <f t="shared" si="2"/>
        <v>0.14750000000000002</v>
      </c>
      <c r="S24" s="220">
        <f t="shared" si="3"/>
        <v>2</v>
      </c>
      <c r="T24" s="220">
        <f t="shared" si="4"/>
        <v>36</v>
      </c>
      <c r="U24" s="220">
        <f t="shared" si="5"/>
        <v>108</v>
      </c>
      <c r="V24" s="236">
        <f t="shared" si="6"/>
        <v>6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CRAFIL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227</v>
      </c>
    </row>
    <row r="25" spans="1:26" ht="12.75">
      <c r="A25" s="224" t="s">
        <v>83</v>
      </c>
      <c r="B25" s="225">
        <v>0.7</v>
      </c>
      <c r="C25" s="226">
        <v>0.10000000000000002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Fissidens crassipes</v>
      </c>
      <c r="E25" s="228" t="e">
        <f>IF(D25="",,VLOOKUP(D25,D$22:D24,1,0))</f>
        <v>#N/A</v>
      </c>
      <c r="F25" s="229">
        <f t="shared" si="0"/>
        <v>0.67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BRm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5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12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2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Fissidens crassipes</v>
      </c>
      <c r="M25" s="233"/>
      <c r="N25" s="233"/>
      <c r="O25" s="233"/>
      <c r="P25" s="234" t="s">
        <v>82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1294</v>
      </c>
      <c r="R25" s="219">
        <f t="shared" si="2"/>
        <v>0.67</v>
      </c>
      <c r="S25" s="220">
        <f t="shared" si="3"/>
        <v>2</v>
      </c>
      <c r="T25" s="220">
        <f t="shared" si="4"/>
        <v>24</v>
      </c>
      <c r="U25" s="220">
        <f t="shared" si="5"/>
        <v>48</v>
      </c>
      <c r="V25" s="236">
        <f t="shared" si="6"/>
        <v>4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FISCRA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255</v>
      </c>
    </row>
    <row r="26" spans="1:26" ht="12.75">
      <c r="A26" s="224" t="s">
        <v>84</v>
      </c>
      <c r="B26" s="225">
        <v>0.30000000000000004</v>
      </c>
      <c r="C26" s="226">
        <v>0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Rhynchostegium riparioides</v>
      </c>
      <c r="E26" s="228" t="e">
        <f>IF(D26="",,VLOOKUP(D26,D$22:D25,1,0))</f>
        <v>#N/A</v>
      </c>
      <c r="F26" s="229">
        <f t="shared" si="0"/>
        <v>0.28500000000000003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BRm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5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12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1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Rhynchostegium riparioides</v>
      </c>
      <c r="M26" s="233"/>
      <c r="N26" s="233"/>
      <c r="O26" s="233"/>
      <c r="P26" s="234" t="s">
        <v>82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31691</v>
      </c>
      <c r="R26" s="219">
        <f t="shared" si="2"/>
        <v>0.28500000000000003</v>
      </c>
      <c r="S26" s="220">
        <f t="shared" si="3"/>
        <v>2</v>
      </c>
      <c r="T26" s="220">
        <f t="shared" si="4"/>
        <v>24</v>
      </c>
      <c r="U26" s="220">
        <f t="shared" si="5"/>
        <v>24</v>
      </c>
      <c r="V26" s="236">
        <f t="shared" si="6"/>
        <v>2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RHYRIP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345</v>
      </c>
    </row>
    <row r="27" spans="1:26" ht="12.75">
      <c r="A27" s="224" t="s">
        <v>56</v>
      </c>
      <c r="B27" s="225"/>
      <c r="C27" s="226"/>
      <c r="D27" s="227">
        <f>IF(ISERROR(VLOOKUP($A27,'[1]liste reference'!$A$6:$B$1174,2,0)),IF(ISERROR(VLOOKUP($A27,'[1]liste reference'!$B$6:$B$1174,1,0)),"",VLOOKUP($A27,'[1]liste reference'!$B$6:$B$1174,1,0)),VLOOKUP($A27,'[1]liste reference'!$A$6:$B$1174,2,0))</f>
      </c>
      <c r="E27" s="228">
        <f>IF(D27="",,VLOOKUP(D27,D$22:D26,1,0))</f>
        <v>0</v>
      </c>
      <c r="F27" s="229">
        <f t="shared" si="0"/>
      </c>
      <c r="G27" s="230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</c>
      <c r="H27" s="231" t="str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x</v>
      </c>
      <c r="I27" s="5">
        <f t="shared" si="1"/>
      </c>
      <c r="J27" s="232" t="str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nu</v>
      </c>
      <c r="K27" s="232" t="str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nu</v>
      </c>
      <c r="L27" s="215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</c>
      <c r="M27" s="233"/>
      <c r="N27" s="233"/>
      <c r="O27" s="233"/>
      <c r="P27" s="234" t="s">
        <v>82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</c>
      <c r="R27" s="219">
        <f t="shared" si="2"/>
      </c>
      <c r="S27" s="220">
        <f t="shared" si="3"/>
      </c>
      <c r="T27" s="220">
        <f t="shared" si="4"/>
        <v>0</v>
      </c>
      <c r="U27" s="220">
        <f t="shared" si="5"/>
        <v>0</v>
      </c>
      <c r="V27" s="236">
        <f t="shared" si="6"/>
        <v>0</v>
      </c>
      <c r="W27" s="237"/>
      <c r="X27" s="238"/>
      <c r="Y27" s="223">
        <f>IF(AND(ISNUMBER(F27),OR(A27="",A27="!!!!!!")),"!!!!!!",IF(A27="new.cod","NEWCOD",IF(AND((Z27=""),ISTEXT(A27),A27&lt;&gt;"!!!!!!"),A27,IF(Z27="","",INDEX('[1]liste reference'!$A$6:$A$1174,Z27)))))</f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</c>
    </row>
    <row r="28" spans="1:26" ht="12.75">
      <c r="A28" s="224" t="s">
        <v>56</v>
      </c>
      <c r="B28" s="225"/>
      <c r="C28" s="226"/>
      <c r="D28" s="227">
        <f>IF(ISERROR(VLOOKUP($A28,'[1]liste reference'!$A$6:$B$1174,2,0)),IF(ISERROR(VLOOKUP($A28,'[1]liste reference'!$B$6:$B$1174,1,0)),"",VLOOKUP($A28,'[1]liste reference'!$B$6:$B$1174,1,0)),VLOOKUP($A28,'[1]liste reference'!$A$6:$B$1174,2,0))</f>
      </c>
      <c r="E28" s="228">
        <f>IF(D28="",,VLOOKUP(D28,D$22:D27,1,0))</f>
        <v>0</v>
      </c>
      <c r="F28" s="229">
        <f t="shared" si="0"/>
      </c>
      <c r="G28" s="230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</c>
      <c r="H28" s="231" t="str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x</v>
      </c>
      <c r="I28" s="5">
        <f t="shared" si="1"/>
      </c>
      <c r="J28" s="232" t="str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nu</v>
      </c>
      <c r="K28" s="232" t="str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nu</v>
      </c>
      <c r="L28" s="215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</c>
      <c r="M28" s="233"/>
      <c r="N28" s="233"/>
      <c r="O28" s="233"/>
      <c r="P28" s="234" t="s">
        <v>82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</c>
      <c r="R28" s="219">
        <f t="shared" si="2"/>
      </c>
      <c r="S28" s="220">
        <f t="shared" si="3"/>
      </c>
      <c r="T28" s="220">
        <f t="shared" si="4"/>
        <v>0</v>
      </c>
      <c r="U28" s="220">
        <f t="shared" si="5"/>
        <v>0</v>
      </c>
      <c r="V28" s="236">
        <f t="shared" si="6"/>
        <v>0</v>
      </c>
      <c r="W28" s="237"/>
      <c r="X28" s="238"/>
      <c r="Y28" s="223">
        <f>IF(AND(ISNUMBER(F28),OR(A28="",A28="!!!!!!")),"!!!!!!",IF(A28="new.cod","NEWCOD",IF(AND((Z28=""),ISTEXT(A28),A28&lt;&gt;"!!!!!!"),A28,IF(Z28="","",INDEX('[1]liste reference'!$A$6:$A$1174,Z28)))))</f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</c>
    </row>
    <row r="29" spans="1:26" ht="12.75">
      <c r="A29" s="224" t="s">
        <v>56</v>
      </c>
      <c r="B29" s="225"/>
      <c r="C29" s="226"/>
      <c r="D29" s="227">
        <f>IF(ISERROR(VLOOKUP($A29,'[1]liste reference'!$A$6:$B$1174,2,0)),IF(ISERROR(VLOOKUP($A29,'[1]liste reference'!$B$6:$B$1174,1,0)),"",VLOOKUP($A29,'[1]liste reference'!$B$6:$B$1174,1,0)),VLOOKUP($A29,'[1]liste reference'!$A$6:$B$1174,2,0))</f>
      </c>
      <c r="E29" s="228">
        <f>IF(D29="",,VLOOKUP(D29,D$22:D28,1,0))</f>
        <v>0</v>
      </c>
      <c r="F29" s="229">
        <f t="shared" si="0"/>
      </c>
      <c r="G29" s="230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</c>
      <c r="H29" s="231" t="str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x</v>
      </c>
      <c r="I29" s="5">
        <f t="shared" si="1"/>
      </c>
      <c r="J29" s="232" t="str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nu</v>
      </c>
      <c r="K29" s="232" t="str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nu</v>
      </c>
      <c r="L29" s="215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</c>
      <c r="M29" s="233"/>
      <c r="N29" s="233"/>
      <c r="O29" s="233"/>
      <c r="P29" s="234" t="s">
        <v>82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</c>
      <c r="R29" s="219">
        <f t="shared" si="2"/>
      </c>
      <c r="S29" s="220">
        <f t="shared" si="3"/>
      </c>
      <c r="T29" s="220">
        <f t="shared" si="4"/>
        <v>0</v>
      </c>
      <c r="U29" s="220">
        <f t="shared" si="5"/>
        <v>0</v>
      </c>
      <c r="V29" s="236">
        <f t="shared" si="6"/>
        <v>0</v>
      </c>
      <c r="W29" s="237"/>
      <c r="X29" s="238"/>
      <c r="Y29" s="223">
        <f>IF(AND(ISNUMBER(F29),OR(A29="",A29="!!!!!!")),"!!!!!!",IF(A29="new.cod","NEWCOD",IF(AND((Z29=""),ISTEXT(A29),A29&lt;&gt;"!!!!!!"),A29,IF(Z29="","",INDEX('[1]liste reference'!$A$6:$A$1174,Z29)))))</f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</c>
    </row>
    <row r="30" spans="1:26" ht="12.75">
      <c r="A30" s="224" t="s">
        <v>56</v>
      </c>
      <c r="B30" s="225"/>
      <c r="C30" s="226"/>
      <c r="D30" s="227">
        <f>IF(ISERROR(VLOOKUP($A30,'[1]liste reference'!$A$6:$B$1174,2,0)),IF(ISERROR(VLOOKUP($A30,'[1]liste reference'!$B$6:$B$1174,1,0)),"",VLOOKUP($A30,'[1]liste reference'!$B$6:$B$1174,1,0)),VLOOKUP($A30,'[1]liste reference'!$A$6:$B$1174,2,0))</f>
      </c>
      <c r="E30" s="228">
        <f>IF(D30="",,VLOOKUP(D30,D$22:D29,1,0))</f>
        <v>0</v>
      </c>
      <c r="F30" s="229">
        <f t="shared" si="0"/>
      </c>
      <c r="G30" s="230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</c>
      <c r="H30" s="231" t="str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x</v>
      </c>
      <c r="I30" s="5">
        <f t="shared" si="1"/>
      </c>
      <c r="J30" s="232" t="str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nu</v>
      </c>
      <c r="K30" s="232" t="str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nu</v>
      </c>
      <c r="L30" s="215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</c>
      <c r="M30" s="233"/>
      <c r="N30" s="233"/>
      <c r="O30" s="233"/>
      <c r="P30" s="234" t="s">
        <v>82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</c>
      <c r="R30" s="219">
        <f t="shared" si="2"/>
      </c>
      <c r="S30" s="220">
        <f t="shared" si="3"/>
      </c>
      <c r="T30" s="220">
        <f t="shared" si="4"/>
        <v>0</v>
      </c>
      <c r="U30" s="220">
        <f t="shared" si="5"/>
        <v>0</v>
      </c>
      <c r="V30" s="236">
        <f t="shared" si="6"/>
        <v>0</v>
      </c>
      <c r="W30" s="237"/>
      <c r="X30" s="238"/>
      <c r="Y30" s="223">
        <f>IF(AND(ISNUMBER(F30),OR(A30="",A30="!!!!!!")),"!!!!!!",IF(A30="new.cod","NEWCOD",IF(AND((Z30=""),ISTEXT(A30),A30&lt;&gt;"!!!!!!"),A30,IF(Z30="","",INDEX('[1]liste reference'!$A$6:$A$1174,Z30)))))</f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</c>
    </row>
    <row r="31" spans="1:26" ht="12.75">
      <c r="A31" s="224" t="s">
        <v>56</v>
      </c>
      <c r="B31" s="225"/>
      <c r="C31" s="226"/>
      <c r="D31" s="227">
        <f>IF(ISERROR(VLOOKUP($A31,'[1]liste reference'!$A$6:$B$1174,2,0)),IF(ISERROR(VLOOKUP($A31,'[1]liste reference'!$B$6:$B$1174,1,0)),"",VLOOKUP($A31,'[1]liste reference'!$B$6:$B$1174,1,0)),VLOOKUP($A31,'[1]liste reference'!$A$6:$B$1174,2,0))</f>
      </c>
      <c r="E31" s="228">
        <f>IF(D31="",,VLOOKUP(D31,D$22:D30,1,0))</f>
        <v>0</v>
      </c>
      <c r="F31" s="229">
        <f t="shared" si="0"/>
      </c>
      <c r="G31" s="230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</c>
      <c r="H31" s="231" t="str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x</v>
      </c>
      <c r="I31" s="5">
        <f t="shared" si="1"/>
      </c>
      <c r="J31" s="232" t="str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nu</v>
      </c>
      <c r="K31" s="232" t="str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nu</v>
      </c>
      <c r="L31" s="215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</c>
      <c r="M31" s="233"/>
      <c r="N31" s="233"/>
      <c r="O31" s="233"/>
      <c r="P31" s="234" t="s">
        <v>82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</c>
      <c r="R31" s="219">
        <f t="shared" si="2"/>
      </c>
      <c r="S31" s="220">
        <f t="shared" si="3"/>
      </c>
      <c r="T31" s="220">
        <f t="shared" si="4"/>
        <v>0</v>
      </c>
      <c r="U31" s="220">
        <f t="shared" si="5"/>
        <v>0</v>
      </c>
      <c r="V31" s="236">
        <f t="shared" si="6"/>
        <v>0</v>
      </c>
      <c r="W31" s="237"/>
      <c r="X31" s="238"/>
      <c r="Y31" s="223">
        <f>IF(AND(ISNUMBER(F31),OR(A31="",A31="!!!!!!")),"!!!!!!",IF(A31="new.cod","NEWCOD",IF(AND((Z31=""),ISTEXT(A31),A31&lt;&gt;"!!!!!!"),A31,IF(Z31="","",INDEX('[1]liste reference'!$A$6:$A$1174,Z31)))))</f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</c>
    </row>
    <row r="32" spans="1:26" ht="12.75">
      <c r="A32" s="224" t="s">
        <v>56</v>
      </c>
      <c r="B32" s="225"/>
      <c r="C32" s="226"/>
      <c r="D32" s="227">
        <f>IF(ISERROR(VLOOKUP($A32,'[1]liste reference'!$A$6:$B$1174,2,0)),IF(ISERROR(VLOOKUP($A32,'[1]liste reference'!$B$6:$B$1174,1,0)),"",VLOOKUP($A32,'[1]liste reference'!$B$6:$B$1174,1,0)),VLOOKUP($A32,'[1]liste reference'!$A$6:$B$1174,2,0))</f>
      </c>
      <c r="E32" s="228">
        <f>IF(D32="",,VLOOKUP(D32,D$22:D31,1,0))</f>
        <v>0</v>
      </c>
      <c r="F32" s="229">
        <f t="shared" si="0"/>
      </c>
      <c r="G32" s="230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</c>
      <c r="H32" s="231" t="str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x</v>
      </c>
      <c r="I32" s="5">
        <f t="shared" si="1"/>
      </c>
      <c r="J32" s="232" t="str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nu</v>
      </c>
      <c r="K32" s="232" t="str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nu</v>
      </c>
      <c r="L32" s="215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</c>
      <c r="M32" s="233"/>
      <c r="N32" s="233"/>
      <c r="O32" s="233"/>
      <c r="P32" s="234" t="s">
        <v>82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</c>
      <c r="R32" s="219">
        <f t="shared" si="2"/>
      </c>
      <c r="S32" s="220">
        <f t="shared" si="3"/>
      </c>
      <c r="T32" s="220">
        <f t="shared" si="4"/>
        <v>0</v>
      </c>
      <c r="U32" s="220">
        <f t="shared" si="5"/>
        <v>0</v>
      </c>
      <c r="V32" s="236">
        <f t="shared" si="6"/>
        <v>0</v>
      </c>
      <c r="W32" s="237"/>
      <c r="X32" s="238"/>
      <c r="Y32" s="223">
        <f>IF(AND(ISNUMBER(F32),OR(A32="",A32="!!!!!!")),"!!!!!!",IF(A32="new.cod","NEWCOD",IF(AND((Z32=""),ISTEXT(A32),A32&lt;&gt;"!!!!!!"),A32,IF(Z32="","",INDEX('[1]liste reference'!$A$6:$A$1174,Z32)))))</f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</c>
    </row>
    <row r="33" spans="1:26" ht="12.75">
      <c r="A33" s="224" t="s">
        <v>56</v>
      </c>
      <c r="B33" s="225"/>
      <c r="C33" s="226"/>
      <c r="D33" s="227">
        <f>IF(ISERROR(VLOOKUP($A33,'[1]liste reference'!$A$6:$B$1174,2,0)),IF(ISERROR(VLOOKUP($A33,'[1]liste reference'!$B$6:$B$1174,1,0)),"",VLOOKUP($A33,'[1]liste reference'!$B$6:$B$1174,1,0)),VLOOKUP($A33,'[1]liste reference'!$A$6:$B$1174,2,0))</f>
      </c>
      <c r="E33" s="228">
        <f>IF(D33="",,VLOOKUP(D33,D$22:D32,1,0))</f>
        <v>0</v>
      </c>
      <c r="F33" s="229">
        <f t="shared" si="0"/>
      </c>
      <c r="G33" s="230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</c>
      <c r="H33" s="231" t="str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x</v>
      </c>
      <c r="I33" s="5">
        <f t="shared" si="1"/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nu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nu</v>
      </c>
      <c r="L33" s="215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</c>
      <c r="M33" s="233"/>
      <c r="N33" s="233"/>
      <c r="O33" s="233"/>
      <c r="P33" s="234" t="s">
        <v>82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</c>
      <c r="R33" s="219">
        <f t="shared" si="2"/>
      </c>
      <c r="S33" s="220">
        <f t="shared" si="3"/>
      </c>
      <c r="T33" s="220">
        <f t="shared" si="4"/>
        <v>0</v>
      </c>
      <c r="U33" s="220">
        <f t="shared" si="5"/>
        <v>0</v>
      </c>
      <c r="V33" s="236">
        <f t="shared" si="6"/>
        <v>0</v>
      </c>
      <c r="W33" s="237"/>
      <c r="X33" s="238"/>
      <c r="Y33" s="223">
        <f>IF(AND(ISNUMBER(F33),OR(A33="",A33="!!!!!!")),"!!!!!!",IF(A33="new.cod","NEWCOD",IF(AND((Z33=""),ISTEXT(A33),A33&lt;&gt;"!!!!!!"),A33,IF(Z33="","",INDEX('[1]liste reference'!$A$6:$A$1174,Z33)))))</f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</c>
    </row>
    <row r="34" spans="1:26" ht="12.75">
      <c r="A34" s="224" t="s">
        <v>56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 t="shared" si="0"/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 t="shared" si="1"/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82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 t="shared" si="2"/>
      </c>
      <c r="S34" s="220">
        <f t="shared" si="3"/>
      </c>
      <c r="T34" s="220">
        <f t="shared" si="4"/>
        <v>0</v>
      </c>
      <c r="U34" s="220">
        <f t="shared" si="5"/>
        <v>0</v>
      </c>
      <c r="V34" s="236">
        <f t="shared" si="6"/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56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 t="shared" si="0"/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 t="shared" si="1"/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82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 t="shared" si="2"/>
      </c>
      <c r="S35" s="220">
        <f t="shared" si="3"/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56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 t="shared" si="0"/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 t="shared" si="1"/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82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 t="shared" si="2"/>
      </c>
      <c r="S36" s="220">
        <f t="shared" si="3"/>
      </c>
      <c r="T36" s="220">
        <f t="shared" si="4"/>
        <v>0</v>
      </c>
      <c r="U36" s="220">
        <f t="shared" si="5"/>
        <v>0</v>
      </c>
      <c r="V36" s="236">
        <f t="shared" si="6"/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56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82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56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82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56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82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56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82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56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82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56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82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56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82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56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82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56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82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56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82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56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82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56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82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56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82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56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82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56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82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56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82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56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82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56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82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56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82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56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82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56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82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56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82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56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82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56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82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56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82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56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82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56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82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56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82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56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82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56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82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56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82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56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82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56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82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56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82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56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82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56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82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56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82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56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82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56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82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56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82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56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82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56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82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56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82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56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82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56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82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56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82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1.1125000000000003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12</v>
      </c>
      <c r="W83" s="220"/>
      <c r="X83" s="258"/>
      <c r="Y83" s="258"/>
      <c r="Z83" s="259"/>
    </row>
    <row r="84" spans="1:26" ht="12.75" hidden="1">
      <c r="A84" s="253" t="str">
        <f>A3</f>
        <v>BOISSE</v>
      </c>
      <c r="B84" s="187" t="str">
        <f>C3</f>
        <v>BOISSE A SAINT VINCENT DE LA COMMANDERIE</v>
      </c>
      <c r="C84" s="260" t="str">
        <f>A4</f>
        <v>(Date)</v>
      </c>
      <c r="D84" s="261">
        <f>IF(OR(ISERROR(SUM($U$23:$U$82)/SUM($V$23:$V$82)),F7&lt;&gt;100),-1,SUM($U$23:$U$82)/SUM($V$23:$V$82))</f>
        <v>15</v>
      </c>
      <c r="E84" s="262">
        <f>O13</f>
        <v>4</v>
      </c>
      <c r="F84" s="187">
        <f>O14</f>
        <v>3</v>
      </c>
      <c r="G84" s="187">
        <f>O15</f>
        <v>1</v>
      </c>
      <c r="H84" s="187">
        <f>O16</f>
        <v>1</v>
      </c>
      <c r="I84" s="187">
        <f>O17</f>
        <v>1</v>
      </c>
      <c r="J84" s="263">
        <f>O8</f>
        <v>14</v>
      </c>
      <c r="K84" s="264">
        <f>O9</f>
        <v>2.8284271247461903</v>
      </c>
      <c r="L84" s="265">
        <f>O10</f>
        <v>12</v>
      </c>
      <c r="M84" s="265">
        <f>O11</f>
        <v>18</v>
      </c>
      <c r="N84" s="264">
        <f>P8</f>
        <v>2</v>
      </c>
      <c r="O84" s="264">
        <f>P9</f>
        <v>0.816496580927726</v>
      </c>
      <c r="P84" s="265">
        <f>P10</f>
        <v>1</v>
      </c>
      <c r="Q84" s="265">
        <f>P11</f>
        <v>3</v>
      </c>
      <c r="R84" s="265">
        <f>F21</f>
        <v>1.1125</v>
      </c>
      <c r="S84" s="265">
        <f>L11</f>
        <v>0</v>
      </c>
      <c r="T84" s="265">
        <f>L12</f>
        <v>0</v>
      </c>
      <c r="U84" s="265">
        <f>L13</f>
        <v>4</v>
      </c>
      <c r="V84" s="266">
        <f>L15</f>
        <v>0</v>
      </c>
      <c r="W84" s="267">
        <f>L15</f>
        <v>0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85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86</v>
      </c>
      <c r="S87" s="5"/>
      <c r="T87" s="272">
        <f>VLOOKUP($T$91,($A$23:$U$82),20,FALSE)</f>
        <v>36</v>
      </c>
      <c r="U87" s="5"/>
      <c r="V87" s="5"/>
    </row>
    <row r="88" spans="3:22" ht="12.75" hidden="1">
      <c r="C88" s="269"/>
      <c r="D88" s="269"/>
      <c r="E88" s="269"/>
      <c r="R88" s="5" t="s">
        <v>87</v>
      </c>
      <c r="S88" s="5"/>
      <c r="T88" s="272">
        <f>VLOOKUP($T$91,($A$23:$U$82),21,FALSE)</f>
        <v>108</v>
      </c>
      <c r="U88" s="5"/>
      <c r="V88" s="5">
        <f>COUNTIF(V23:V82,T89)</f>
        <v>1</v>
      </c>
    </row>
    <row r="89" spans="3:21" ht="12.75" hidden="1">
      <c r="C89" s="269"/>
      <c r="D89" s="269"/>
      <c r="E89" s="269"/>
      <c r="R89" s="5" t="s">
        <v>88</v>
      </c>
      <c r="S89" s="5"/>
      <c r="T89" s="272">
        <f>MAX($V$23:$V$82)</f>
        <v>6</v>
      </c>
      <c r="U89" s="5"/>
    </row>
    <row r="90" spans="3:21" ht="12.75" hidden="1">
      <c r="C90" s="269"/>
      <c r="D90" s="269"/>
      <c r="E90" s="269"/>
      <c r="R90" s="5" t="s">
        <v>89</v>
      </c>
      <c r="S90" s="5" t="s">
        <v>10</v>
      </c>
      <c r="T90" s="273">
        <f>IF(OR(ISERROR(SUM($U$23:$U$82)/SUM($V$23:$V$82)),F7&lt;&gt;100),-1,(SUM($U$23:$U$82)-T88)/(SUM($V$23:$V$82)-T89))</f>
        <v>12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90</v>
      </c>
      <c r="S91" s="220"/>
      <c r="T91" s="220" t="str">
        <f>INDEX('[1]liste reference'!$A$6:$A$1174,$U$91)</f>
        <v>CRAFIL</v>
      </c>
      <c r="U91" s="5">
        <f>IF(ISERROR(MATCH($T$93,'[1]liste reference'!$A$6:$A$1174,0)),MATCH($T$93,'[1]liste reference'!$B$6:$B$1174,0),(MATCH($T$93,'[1]liste reference'!$A$6:$A$1174,0)))</f>
        <v>227</v>
      </c>
      <c r="V91" s="274"/>
    </row>
    <row r="92" spans="3:21" ht="12.75" hidden="1">
      <c r="C92" s="269"/>
      <c r="D92" s="269"/>
      <c r="E92" s="269"/>
      <c r="R92" s="5" t="s">
        <v>91</v>
      </c>
      <c r="S92" s="5"/>
      <c r="T92" s="5">
        <f>MATCH(T89,$V$23:$V$82,0)</f>
        <v>2</v>
      </c>
      <c r="U92" s="5"/>
    </row>
    <row r="93" spans="3:21" ht="12.75" hidden="1">
      <c r="C93" s="269"/>
      <c r="D93" s="269"/>
      <c r="E93" s="269"/>
      <c r="R93" s="220" t="s">
        <v>92</v>
      </c>
      <c r="S93" s="5"/>
      <c r="T93" s="220" t="str">
        <f>INDEX($A$23:$A$82,$T$92)</f>
        <v>CRAFIL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2016-01-25T08:16:06Z</dcterms:created>
  <dcterms:modified xsi:type="dcterms:W3CDTF">2016-01-25T08:16:09Z</dcterms:modified>
  <cp:category/>
  <cp:version/>
  <cp:contentType/>
  <cp:contentStatus/>
</cp:coreProperties>
</file>