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<sst xmlns="http://schemas.openxmlformats.org/spreadsheetml/2006/main" count="217" uniqueCount="92">
  <si>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</si>
  <si>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>modèle Irstea-GIS</t>
  </si>
  <si>
    <t>SAGE ENVIRONNEMENT</t>
  </si>
  <si>
    <t>LBOURGOIN M SCHNEIDER</t>
  </si>
  <si>
    <t>VEORE</t>
  </si>
  <si>
    <t>VEORE A ETOILE SUR RHONE</t>
  </si>
  <si>
    <t>06106684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</si>
  <si>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</si>
  <si>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</si>
  <si>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</si>
  <si>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</si>
  <si>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</si>
  <si>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</si>
  <si>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</si>
  <si>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</si>
  <si>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</si>
  <si>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</si>
  <si>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</si>
  <si>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</si>
  <si>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</si>
  <si>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</si>
  <si>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</si>
  <si>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</si>
  <si>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</si>
  <si>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</si>
  <si>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</si>
  <si>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</si>
  <si>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</si>
  <si>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</si>
  <si>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</si>
  <si>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</si>
  <si>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</si>
  <si>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</si>
  <si>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</si>
  <si>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</si>
  <si>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</si>
  <si>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</si>
  <si>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</si>
  <si>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</si>
  <si>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</si>
  <si>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</si>
  <si>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</si>
  <si>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</si>
  <si>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</si>
  <si>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</si>
  <si>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</si>
  <si>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</si>
  <si>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</si>
  <si>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</si>
  <si>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</si>
  <si>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</si>
  <si>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</si>
  <si>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</si>
  <si>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</si>
  <si>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</si>
  <si>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</si>
  <si>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</si>
  <si>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</si>
  <si>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</si>
  <si>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</si>
  <si>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</si>
  <si>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</si>
  <si>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</si>
  <si>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</si>
  <si>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</si>
  <si>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</si>
  <si>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</si>
  <si>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</si>
  <si>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</si>
  <si>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</si>
  <si>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</si>
  <si>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</si>
  <si>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</si>
  <si>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</si>
  <si>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</si>
  <si>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</si>
  <si>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</si>
  <si>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</si>
  <si>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</si>
  <si>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</si>
  <si>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</si>
  <si>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</si>
  <si>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VAUSPX</t>
  </si>
  <si>
    <t>PERHYD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</si>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</sst>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ERHO_10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L30" sqref="L30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5.75</v>
      </c>
      <c r="N5" s="50"/>
      <c r="O5" s="51" t="s">
        <v>16</v>
      </c>
      <c r="P5" s="52">
        <v>5.6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6</v>
      </c>
      <c r="P8" s="85">
        <f>IF(ISERROR(AVERAGE(K23:K82)),"  ",AVERAGE(K23:K82))</f>
        <v>1.5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45</v>
      </c>
      <c r="C9" s="88">
        <v>50.01</v>
      </c>
      <c r="D9" s="89"/>
      <c r="E9" s="89"/>
      <c r="F9" s="90">
        <f>($B9*$B$7+$C9*$C$7)/100</f>
        <v>46.001999999999995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1.4142135623730951</v>
      </c>
      <c r="P9" s="85">
        <f>IF(ISERROR(STDEVP(K23:K82)),"  ",STDEVP(K23:K82))</f>
        <v>0.5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8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45</v>
      </c>
      <c r="C12" s="114">
        <v>50</v>
      </c>
      <c r="D12" s="89"/>
      <c r="E12" s="89"/>
      <c r="F12" s="106">
        <f>($B12*$B$7+$C12*$C$7)/100</f>
        <v>46</v>
      </c>
      <c r="G12" s="107"/>
      <c r="H12" s="56"/>
      <c r="I12" s="5"/>
      <c r="J12" s="108" t="s">
        <v>38</v>
      </c>
      <c r="K12" s="109"/>
      <c r="L12" s="110">
        <f>COUNTIF($G$23:$G$82,"=ALG")</f>
        <v>3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0</v>
      </c>
      <c r="M13" s="111"/>
      <c r="N13" s="120" t="s">
        <v>41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>
        <v>0.01</v>
      </c>
      <c r="D15" s="89"/>
      <c r="E15" s="89"/>
      <c r="F15" s="106">
        <f>($B15*$B$7+$C15*$C$7)/100</f>
        <v>0.002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47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45</v>
      </c>
      <c r="C17" s="114">
        <v>50</v>
      </c>
      <c r="D17" s="89"/>
      <c r="E17" s="89"/>
      <c r="F17" s="133"/>
      <c r="G17" s="134">
        <f>($B17*$B$7+$C17*$C$7)/100</f>
        <v>46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0.01</v>
      </c>
      <c r="D18" s="89"/>
      <c r="E18" s="144" t="s">
        <v>54</v>
      </c>
      <c r="F18" s="133"/>
      <c r="G18" s="134">
        <f>($B18*$B$7+$C18*$C$7)/100</f>
        <v>0.002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46.002</v>
      </c>
      <c r="G19" s="157">
        <f>SUM(G16:G18)</f>
        <v>46.002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45</v>
      </c>
      <c r="C20" s="167">
        <f>SUM(C23:C62)</f>
        <v>50.01</v>
      </c>
      <c r="D20" s="168"/>
      <c r="E20" s="169" t="s">
        <v>54</v>
      </c>
      <c r="F20" s="170">
        <f>($B20*$B$7+$C20*$C$7)/100</f>
        <v>46.001999999999995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36</v>
      </c>
      <c r="C21" s="178">
        <f>C20*C7/100</f>
        <v>10.001999999999999</v>
      </c>
      <c r="D21" s="179" t="s">
        <v>58</v>
      </c>
      <c r="E21" s="180"/>
      <c r="F21" s="181">
        <f>B21+C21</f>
        <v>46.001999999999995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14</v>
      </c>
      <c r="C23" s="208">
        <v>44.1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20.02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20.02</v>
      </c>
      <c r="S23" s="220">
        <f aca="true" t="shared" si="3" ref="S23:S82">IF(OR(ISTEXT(H23),R23=0),"",IF(R23&lt;0.1,1,IF(R23&lt;1,2,IF(R23&lt;10,3,IF(R23&lt;50,4,IF(R23&gt;=50,5,""))))))</f>
        <v>4</v>
      </c>
      <c r="T23" s="220">
        <f aca="true" t="shared" si="4" ref="T23:T82">IF(ISERROR(S23*J23),0,S23*J23)</f>
        <v>24</v>
      </c>
      <c r="U23" s="220">
        <f aca="true" t="shared" si="5" ref="U23:U82">IF(ISERROR(S23*J23*K23),0,S23*J23*K23)</f>
        <v>24</v>
      </c>
      <c r="V23" s="220">
        <f aca="true" t="shared" si="6" ref="V23:V82"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1</v>
      </c>
      <c r="C24" s="226">
        <v>4.9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Oedogonium sp.</v>
      </c>
      <c r="E24" s="228" t="e">
        <f>IF(D24="",,VLOOKUP(D24,D$22:D23,1,0))</f>
        <v>#N/A</v>
      </c>
      <c r="F24" s="229">
        <f t="shared" si="0"/>
        <v>1.78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Oedogonium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1134</v>
      </c>
      <c r="R24" s="219">
        <f t="shared" si="2"/>
        <v>1.78</v>
      </c>
      <c r="S24" s="220">
        <f t="shared" si="3"/>
        <v>3</v>
      </c>
      <c r="T24" s="220">
        <f t="shared" si="4"/>
        <v>18</v>
      </c>
      <c r="U24" s="220">
        <f t="shared" si="5"/>
        <v>36</v>
      </c>
      <c r="V24" s="236">
        <f t="shared" si="6"/>
        <v>6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OEDSPX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85</v>
      </c>
    </row>
    <row r="25" spans="1:26" ht="12.75">
      <c r="A25" s="224" t="s">
        <v>82</v>
      </c>
      <c r="B25" s="225">
        <v>30</v>
      </c>
      <c r="C25" s="226">
        <v>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Vaucheria sp.</v>
      </c>
      <c r="E25" s="228" t="e">
        <f>IF(D25="",,VLOOKUP(D25,D$22:D24,1,0))</f>
        <v>#N/A</v>
      </c>
      <c r="F25" s="229">
        <f t="shared" si="0"/>
        <v>24.2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4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Vaucheria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1169</v>
      </c>
      <c r="R25" s="219">
        <f t="shared" si="2"/>
        <v>24.2</v>
      </c>
      <c r="S25" s="220">
        <f t="shared" si="3"/>
        <v>4</v>
      </c>
      <c r="T25" s="220">
        <f t="shared" si="4"/>
        <v>16</v>
      </c>
      <c r="U25" s="220">
        <f t="shared" si="5"/>
        <v>16</v>
      </c>
      <c r="V25" s="236">
        <f t="shared" si="6"/>
        <v>4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VAUSPX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118</v>
      </c>
    </row>
    <row r="26" spans="1:26" ht="12.75">
      <c r="A26" s="224" t="s">
        <v>83</v>
      </c>
      <c r="B26" s="225">
        <v>0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Persicaria hydropiper</v>
      </c>
      <c r="E26" s="228" t="e">
        <f>IF(D26="",,VLOOKUP(D26,D$22:D25,1,0))</f>
        <v>#N/A</v>
      </c>
      <c r="F26" s="229">
        <f t="shared" si="0"/>
        <v>0.002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PHe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9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8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Persicaria hydropiper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31021</v>
      </c>
      <c r="R26" s="219">
        <f t="shared" si="2"/>
        <v>0.002</v>
      </c>
      <c r="S26" s="220">
        <f t="shared" si="3"/>
        <v>1</v>
      </c>
      <c r="T26" s="220">
        <f t="shared" si="4"/>
        <v>8</v>
      </c>
      <c r="U26" s="220">
        <f t="shared" si="5"/>
        <v>16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PERHYD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756</v>
      </c>
    </row>
    <row r="27" spans="1:26" ht="12.75">
      <c r="A27" s="224" t="s">
        <v>55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55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46.002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16</v>
      </c>
      <c r="W83" s="220"/>
      <c r="X83" s="258"/>
      <c r="Y83" s="258"/>
      <c r="Z83" s="259"/>
    </row>
    <row r="84" spans="1:26" ht="12.75" hidden="1">
      <c r="A84" s="253" t="str">
        <f>A3</f>
        <v>VEORE</v>
      </c>
      <c r="B84" s="187" t="str">
        <f>C3</f>
        <v>VEORE A ETOILE SUR RHONE</v>
      </c>
      <c r="C84" s="260" t="str">
        <f>A4</f>
        <v>(Date)</v>
      </c>
      <c r="D84" s="261">
        <f>IF(OR(ISERROR(SUM($U$23:$U$82)/SUM($V$23:$V$82)),F7&lt;&gt;100),-1,SUM($U$23:$U$82)/SUM($V$23:$V$82))</f>
        <v>5.75</v>
      </c>
      <c r="E84" s="262">
        <f>O13</f>
        <v>4</v>
      </c>
      <c r="F84" s="187">
        <f>O14</f>
        <v>4</v>
      </c>
      <c r="G84" s="187">
        <f>O15</f>
        <v>2</v>
      </c>
      <c r="H84" s="187">
        <f>O16</f>
        <v>2</v>
      </c>
      <c r="I84" s="187">
        <f>O17</f>
        <v>0</v>
      </c>
      <c r="J84" s="263">
        <f>O8</f>
        <v>6</v>
      </c>
      <c r="K84" s="264">
        <f>O9</f>
        <v>1.4142135623730951</v>
      </c>
      <c r="L84" s="265">
        <f>O10</f>
        <v>4</v>
      </c>
      <c r="M84" s="265">
        <f>O11</f>
        <v>8</v>
      </c>
      <c r="N84" s="264">
        <f>P8</f>
        <v>1.5</v>
      </c>
      <c r="O84" s="264">
        <f>P9</f>
        <v>0.5</v>
      </c>
      <c r="P84" s="265">
        <f>P10</f>
        <v>1</v>
      </c>
      <c r="Q84" s="265">
        <f>P11</f>
        <v>2</v>
      </c>
      <c r="R84" s="265">
        <f>F21</f>
        <v>46.001999999999995</v>
      </c>
      <c r="S84" s="265">
        <f>L11</f>
        <v>0</v>
      </c>
      <c r="T84" s="265">
        <f>L12</f>
        <v>3</v>
      </c>
      <c r="U84" s="265">
        <f>L13</f>
        <v>0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18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36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5.6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OEDSPX</v>
      </c>
      <c r="U91" s="5">
        <f>IF(ISERROR(MATCH($T$93,'[1]liste reference'!$A$6:$A$1174,0)),MATCH($T$93,'[1]liste reference'!$B$6:$B$1174,0),(MATCH($T$93,'[1]liste reference'!$A$6:$A$1174,0)))</f>
        <v>85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OEDSPX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2016-03-01T13:59:24Z</dcterms:created>
  <dcterms:modified xsi:type="dcterms:W3CDTF">2016-03-01T13:59:26Z</dcterms:modified>
  <cp:category/>
  <cp:version/>
  <cp:contentType/>
  <cp:contentStatus/>
</cp:coreProperties>
</file>