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<sst xmlns="http://schemas.openxmlformats.org/spreadsheetml/2006/main" count="217" uniqueCount="97">
  <si>
    <t>Relevés floristiques aquatiques - IBMR</t>
  </si>
  <si>
    <t>modèle Irstea-GIS</t>
  </si>
  <si>
    <t>SAGE</t>
  </si>
  <si>
    <t>C. BERNARD M. SCHNEIDER</t>
  </si>
  <si>
    <t>DORNE</t>
  </si>
  <si>
    <t>DORNE A DORNAS</t>
  </si>
  <si>
    <t>06106935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</si>
  <si>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</si>
  <si>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</si>
  <si>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</si>
  <si>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</si>
  <si>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</si>
  <si>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</si>
  <si>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</si>
  <si>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</si>
  <si>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</si>
  <si>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</si>
  <si>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</si>
  <si>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</si>
  <si>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</si>
  <si>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</si>
  <si>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</si>
  <si>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</si>
  <si>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</si>
  <si>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</si>
  <si>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</si>
  <si>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</si>
  <si>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</si>
  <si>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</si>
  <si>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</si>
  <si>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</si>
  <si>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</si>
  <si>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</si>
  <si>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</si>
  <si>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</si>
  <si>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</si>
  <si>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</si>
  <si>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</si>
  <si>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</si>
  <si>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</si>
  <si>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</si>
  <si>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</si>
  <si>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</si>
  <si>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</si>
  <si>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</si>
  <si>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</si>
  <si>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</si>
  <si>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</si>
  <si>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</si>
  <si>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</si>
  <si>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</si>
  <si>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</si>
  <si>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</si>
  <si>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</si>
  <si>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</si>
  <si>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</si>
  <si>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</si>
  <si>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</si>
  <si>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</si>
  <si>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</si>
  <si>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</si>
  <si>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</si>
  <si>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</si>
  <si>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</si>
  <si>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</si>
  <si>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</si>
  <si>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</si>
  <si>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</si>
  <si>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</si>
  <si>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</si>
  <si>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</si>
  <si>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</si>
  <si>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</si>
  <si>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</si>
  <si>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</si>
  <si>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</si>
  <si>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</si>
  <si>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</si>
  <si>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</si>
  <si>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</si>
  <si>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LEASPX</t>
  </si>
  <si>
    <t xml:space="preserve"> -</t>
  </si>
  <si>
    <t>MELSPX</t>
  </si>
  <si>
    <t>NOSSPX</t>
  </si>
  <si>
    <t>SPISPX</t>
  </si>
  <si>
    <t>STISPX</t>
  </si>
  <si>
    <t>JUGATR</t>
  </si>
  <si>
    <t>FISCRA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</si>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</sst>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ORDO_22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13.157894736842104</v>
      </c>
      <c r="N5" s="50"/>
      <c r="O5" s="51" t="s">
        <v>16</v>
      </c>
      <c r="P5" s="52">
        <v>13.2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85</v>
      </c>
      <c r="C7" s="68">
        <v>15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12.555555555555555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1.63</v>
      </c>
      <c r="C9" s="88">
        <v>30.13</v>
      </c>
      <c r="D9" s="89"/>
      <c r="E9" s="89"/>
      <c r="F9" s="90">
        <f>($B9*$B$7+$C9*$C$7)/100</f>
        <v>5.905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2.871743996293352</v>
      </c>
      <c r="P9" s="85">
        <f>IF(ISERROR(STDEVP(K23:K82)),"  ",STDEVP(K23:K82))</f>
        <v>0.6666666666666666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9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1.62</v>
      </c>
      <c r="C12" s="114">
        <v>30.1</v>
      </c>
      <c r="D12" s="89"/>
      <c r="E12" s="89"/>
      <c r="F12" s="106">
        <f>($B12*$B$7+$C12*$C$7)/100</f>
        <v>5.892</v>
      </c>
      <c r="G12" s="107"/>
      <c r="H12" s="56"/>
      <c r="I12" s="5"/>
      <c r="J12" s="108" t="s">
        <v>38</v>
      </c>
      <c r="K12" s="109"/>
      <c r="L12" s="110">
        <f>COUNTIF($G$23:$G$82,"=ALG")</f>
        <v>6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0.01</v>
      </c>
      <c r="C13" s="114">
        <v>0.03</v>
      </c>
      <c r="D13" s="89"/>
      <c r="E13" s="89"/>
      <c r="F13" s="106">
        <f>($B13*$B$7+$C13*$C$7)/100</f>
        <v>0.012999999999999998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3</v>
      </c>
      <c r="M13" s="111"/>
      <c r="N13" s="120" t="s">
        <v>41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1.63</v>
      </c>
      <c r="C17" s="114">
        <v>30.13</v>
      </c>
      <c r="D17" s="89"/>
      <c r="E17" s="89"/>
      <c r="F17" s="133"/>
      <c r="G17" s="134">
        <f>($B17*$B$7+$C17*$C$7)/100</f>
        <v>5.905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5.905</v>
      </c>
      <c r="G19" s="157">
        <f>SUM(G16:G18)</f>
        <v>5.905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1.6300000000000003</v>
      </c>
      <c r="C20" s="167">
        <f>SUM(C23:C62)</f>
        <v>30.130000000000006</v>
      </c>
      <c r="D20" s="168"/>
      <c r="E20" s="169" t="s">
        <v>54</v>
      </c>
      <c r="F20" s="170">
        <f>($B20*$B$7+$C20*$C$7)/100</f>
        <v>5.905000000000001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1.3855000000000004</v>
      </c>
      <c r="C21" s="178">
        <f>C20*C7/100</f>
        <v>4.519500000000001</v>
      </c>
      <c r="D21" s="179" t="s">
        <v>58</v>
      </c>
      <c r="E21" s="180"/>
      <c r="F21" s="181">
        <f>B21+C21</f>
        <v>5.905000000000001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Lemanea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0.085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15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Lemanea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1159</v>
      </c>
      <c r="R23" s="219">
        <f aca="true" t="shared" si="2" ref="R23:R82">IF(ISTEXT(H23),"",(B23*$B$7/100)+(C23*$C$7/100))</f>
        <v>0.085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15</v>
      </c>
      <c r="U23" s="220">
        <f aca="true" t="shared" si="5" ref="U23:U82">IF(ISERROR(S23*J23*K23),0,S23*J23*K23)</f>
        <v>30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LEASPX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59</v>
      </c>
    </row>
    <row r="24" spans="1:26" ht="12.75">
      <c r="A24" s="224" t="s">
        <v>82</v>
      </c>
      <c r="B24" s="225">
        <v>1</v>
      </c>
      <c r="C24" s="226">
        <v>30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Melosira sp.</v>
      </c>
      <c r="E24" s="228" t="e">
        <f>IF(D24="",,VLOOKUP(D24,D$22:D23,1,0))</f>
        <v>#N/A</v>
      </c>
      <c r="F24" s="229">
        <f t="shared" si="0"/>
        <v>5.35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Melosira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8714</v>
      </c>
      <c r="R24" s="219">
        <f t="shared" si="2"/>
        <v>5.35</v>
      </c>
      <c r="S24" s="220">
        <f t="shared" si="3"/>
        <v>3</v>
      </c>
      <c r="T24" s="220">
        <f t="shared" si="4"/>
        <v>30</v>
      </c>
      <c r="U24" s="220">
        <f t="shared" si="5"/>
        <v>30</v>
      </c>
      <c r="V24" s="236">
        <f t="shared" si="6"/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MELSPX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62</v>
      </c>
    </row>
    <row r="25" spans="1:26" ht="12.75">
      <c r="A25" s="224" t="s">
        <v>83</v>
      </c>
      <c r="B25" s="225">
        <v>0.1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Nostoc sp.</v>
      </c>
      <c r="E25" s="228" t="e">
        <f>IF(D25="",,VLOOKUP(D25,D$22:D24,1,0))</f>
        <v>#N/A</v>
      </c>
      <c r="F25" s="229">
        <f t="shared" si="0"/>
        <v>0.085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9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Nostoc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1105</v>
      </c>
      <c r="R25" s="219">
        <f t="shared" si="2"/>
        <v>0.085</v>
      </c>
      <c r="S25" s="220">
        <f t="shared" si="3"/>
        <v>1</v>
      </c>
      <c r="T25" s="220">
        <f t="shared" si="4"/>
        <v>9</v>
      </c>
      <c r="U25" s="220">
        <f t="shared" si="5"/>
        <v>9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NOSSPX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84</v>
      </c>
    </row>
    <row r="26" spans="1:26" ht="12.75">
      <c r="A26" s="224" t="s">
        <v>16</v>
      </c>
      <c r="B26" s="225">
        <v>0.27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Phormidium sp.</v>
      </c>
      <c r="E26" s="228" t="e">
        <f>IF(D26="",,VLOOKUP(D26,D$22:D25,1,0))</f>
        <v>#N/A</v>
      </c>
      <c r="F26" s="229">
        <f t="shared" si="0"/>
        <v>0.22950000000000004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Phormidium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6414</v>
      </c>
      <c r="R26" s="219">
        <f t="shared" si="2"/>
        <v>0.22950000000000004</v>
      </c>
      <c r="S26" s="220">
        <f t="shared" si="3"/>
        <v>2</v>
      </c>
      <c r="T26" s="220">
        <f t="shared" si="4"/>
        <v>26</v>
      </c>
      <c r="U26" s="220">
        <f t="shared" si="5"/>
        <v>52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PHOSPX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88</v>
      </c>
    </row>
    <row r="27" spans="1:26" ht="12.75">
      <c r="A27" s="224" t="s">
        <v>84</v>
      </c>
      <c r="B27" s="225">
        <v>0.1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Spirogyra sp.</v>
      </c>
      <c r="E27" s="228" t="e">
        <f>IF(D27="",,VLOOKUP(D27,D$22:D26,1,0))</f>
        <v>#N/A</v>
      </c>
      <c r="F27" s="229">
        <f t="shared" si="0"/>
        <v>0.085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Spirogyra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1147</v>
      </c>
      <c r="R27" s="219">
        <f t="shared" si="2"/>
        <v>0.085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SPISPX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102</v>
      </c>
    </row>
    <row r="28" spans="1:26" ht="12.75">
      <c r="A28" s="224" t="s">
        <v>85</v>
      </c>
      <c r="B28" s="225">
        <v>0.05</v>
      </c>
      <c r="C28" s="226">
        <v>0.1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Stigeoclonium sp. (excep. S. tenue)</v>
      </c>
      <c r="E28" s="228" t="e">
        <f>IF(D28="",,VLOOKUP(D28,D$22:D27,1,0))</f>
        <v>#N/A</v>
      </c>
      <c r="F28" s="229">
        <f t="shared" si="0"/>
        <v>0.0575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Stigeoclonium sp. (excep. S. tenue)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1119</v>
      </c>
      <c r="R28" s="219">
        <f t="shared" si="2"/>
        <v>0.0575</v>
      </c>
      <c r="S28" s="220">
        <f t="shared" si="3"/>
        <v>1</v>
      </c>
      <c r="T28" s="220">
        <f t="shared" si="4"/>
        <v>13</v>
      </c>
      <c r="U28" s="220">
        <f t="shared" si="5"/>
        <v>26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STISPX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104</v>
      </c>
    </row>
    <row r="29" spans="1:26" ht="12.75">
      <c r="A29" s="224" t="s">
        <v>86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Jungermannia atrovirens</v>
      </c>
      <c r="E29" s="228" t="e">
        <f>IF(D29="",,VLOOKUP(D29,D$22:D28,1,0))</f>
        <v>#N/A</v>
      </c>
      <c r="F29" s="229">
        <f t="shared" si="0"/>
        <v>0.0015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BRh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4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19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3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Jungermannia atrovirens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19820</v>
      </c>
      <c r="R29" s="219">
        <f t="shared" si="2"/>
        <v>0.0015</v>
      </c>
      <c r="S29" s="220">
        <f t="shared" si="3"/>
        <v>1</v>
      </c>
      <c r="T29" s="220">
        <f t="shared" si="4"/>
        <v>19</v>
      </c>
      <c r="U29" s="220">
        <f t="shared" si="5"/>
        <v>57</v>
      </c>
      <c r="V29" s="236">
        <f t="shared" si="6"/>
        <v>3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JUGATR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142</v>
      </c>
    </row>
    <row r="30" spans="1:26" ht="12.75">
      <c r="A30" s="224" t="s">
        <v>87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Fissidens crassipes</v>
      </c>
      <c r="E30" s="228" t="e">
        <f>IF(D30="",,VLOOKUP(D30,D$22:D29,1,0))</f>
        <v>#N/A</v>
      </c>
      <c r="F30" s="229">
        <f t="shared" si="0"/>
        <v>0.0015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Fissidens crassipes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1294</v>
      </c>
      <c r="R30" s="219">
        <f t="shared" si="2"/>
        <v>0.0015</v>
      </c>
      <c r="S30" s="220">
        <f t="shared" si="3"/>
        <v>1</v>
      </c>
      <c r="T30" s="220">
        <f t="shared" si="4"/>
        <v>12</v>
      </c>
      <c r="U30" s="220">
        <f t="shared" si="5"/>
        <v>24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FISCRA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255</v>
      </c>
    </row>
    <row r="31" spans="1:26" ht="12.75">
      <c r="A31" s="224" t="s">
        <v>88</v>
      </c>
      <c r="B31" s="225">
        <v>0.01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Rhynchostegium riparioides</v>
      </c>
      <c r="E31" s="228" t="e">
        <f>IF(D31="",,VLOOKUP(D31,D$22:D30,1,0))</f>
        <v>#N/A</v>
      </c>
      <c r="F31" s="229">
        <f t="shared" si="0"/>
        <v>0.01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Rhynchostegium riparioides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31691</v>
      </c>
      <c r="R31" s="219">
        <f t="shared" si="2"/>
        <v>0.01</v>
      </c>
      <c r="S31" s="220">
        <f t="shared" si="3"/>
        <v>1</v>
      </c>
      <c r="T31" s="220">
        <f t="shared" si="4"/>
        <v>12</v>
      </c>
      <c r="U31" s="220">
        <f t="shared" si="5"/>
        <v>12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RHYRIP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345</v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5.904999999999999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19</v>
      </c>
      <c r="W83" s="220"/>
      <c r="X83" s="258"/>
      <c r="Y83" s="258"/>
      <c r="Z83" s="259"/>
    </row>
    <row r="84" spans="1:26" ht="12.75" hidden="1">
      <c r="A84" s="253" t="str">
        <f>A3</f>
        <v>DORNE</v>
      </c>
      <c r="B84" s="187" t="str">
        <f>C3</f>
        <v>DORNE A DORNAS</v>
      </c>
      <c r="C84" s="260" t="str">
        <f>A4</f>
        <v>(Date)</v>
      </c>
      <c r="D84" s="261">
        <f>IF(OR(ISERROR(SUM($U$23:$U$82)/SUM($V$23:$V$82)),F7&lt;&gt;100),-1,SUM($U$23:$U$82)/SUM($V$23:$V$82))</f>
        <v>13.157894736842104</v>
      </c>
      <c r="E84" s="262">
        <f>O13</f>
        <v>9</v>
      </c>
      <c r="F84" s="187">
        <f>O14</f>
        <v>9</v>
      </c>
      <c r="G84" s="187">
        <f>O15</f>
        <v>4</v>
      </c>
      <c r="H84" s="187">
        <f>O16</f>
        <v>4</v>
      </c>
      <c r="I84" s="187">
        <f>O17</f>
        <v>1</v>
      </c>
      <c r="J84" s="263">
        <f>O8</f>
        <v>12.555555555555555</v>
      </c>
      <c r="K84" s="264">
        <f>O9</f>
        <v>2.871743996293352</v>
      </c>
      <c r="L84" s="265">
        <f>O10</f>
        <v>9</v>
      </c>
      <c r="M84" s="265">
        <f>O11</f>
        <v>19</v>
      </c>
      <c r="N84" s="264">
        <f>P8</f>
        <v>1.6666666666666667</v>
      </c>
      <c r="O84" s="264">
        <f>P9</f>
        <v>0.6666666666666666</v>
      </c>
      <c r="P84" s="265">
        <f>P10</f>
        <v>1</v>
      </c>
      <c r="Q84" s="265">
        <f>P11</f>
        <v>3</v>
      </c>
      <c r="R84" s="265">
        <f>F21</f>
        <v>5.905000000000001</v>
      </c>
      <c r="S84" s="265">
        <f>L11</f>
        <v>0</v>
      </c>
      <c r="T84" s="265">
        <f>L12</f>
        <v>6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90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91</v>
      </c>
      <c r="S88" s="5"/>
      <c r="T88" s="272">
        <f>VLOOKUP($T$91,($A$23:$U$82),21,FALSE)</f>
        <v>52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92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93</v>
      </c>
      <c r="S90" s="5" t="s">
        <v>10</v>
      </c>
      <c r="T90" s="273">
        <f>IF(OR(ISERROR(SUM($U$23:$U$82)/SUM($V$23:$V$82)),F7&lt;&gt;100),-1,(SUM($U$23:$U$82)-T88)/(SUM($V$23:$V$82)-T89))</f>
        <v>13.2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94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95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96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2016-04-27T08:24:31Z</dcterms:created>
  <dcterms:modified xsi:type="dcterms:W3CDTF">2016-04-27T08:24:33Z</dcterms:modified>
  <cp:category/>
  <cp:version/>
  <cp:contentType/>
  <cp:contentStatus/>
</cp:coreProperties>
</file>