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<sst xmlns="http://schemas.openxmlformats.org/spreadsheetml/2006/main" count="215" uniqueCount="92">
  <si>
    <t>Relevés floristiques aquatiques - IBMR</t>
  </si>
  <si>
    <t>modèle Irstea-GIS</t>
  </si>
  <si>
    <t>EYBEAU</t>
  </si>
  <si>
    <t>LBOURGOIN MSCHNEIDER</t>
  </si>
  <si>
    <t>EYRIEUX</t>
  </si>
  <si>
    <t>EYRIEUX A BEAUCHASTEL</t>
  </si>
  <si>
    <t>06107900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</si>
  <si>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</si>
  <si>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</si>
  <si>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</si>
  <si>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</si>
  <si>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</si>
  <si>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</si>
  <si>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</si>
  <si>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</si>
  <si>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</si>
  <si>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CLASPX</t>
  </si>
  <si>
    <t>Faciès dominant</t>
  </si>
  <si>
    <t>pl. lent</t>
  </si>
  <si>
    <t>niveau trophique</t>
  </si>
  <si>
    <t>très élevé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</si>
  <si>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</si>
  <si>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</si>
  <si>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</si>
  <si>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</si>
  <si>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</si>
  <si>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</si>
  <si>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</si>
  <si>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</si>
  <si>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</si>
  <si>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</si>
  <si>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</si>
  <si>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</si>
  <si>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</si>
  <si>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</si>
  <si>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</si>
  <si>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</si>
  <si>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</si>
  <si>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</si>
  <si>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</si>
  <si>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</si>
  <si>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</si>
  <si>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</si>
  <si>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</si>
  <si>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</si>
  <si>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</si>
  <si>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</si>
  <si>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</si>
  <si>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</si>
  <si>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</si>
  <si>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</si>
  <si>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</si>
  <si>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</si>
  <si>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</si>
  <si>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</si>
  <si>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</si>
  <si>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</si>
  <si>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</si>
  <si>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</si>
  <si>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</si>
  <si>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</si>
  <si>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</si>
  <si>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</si>
  <si>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</si>
  <si>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</si>
  <si>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</si>
  <si>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</si>
  <si>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</si>
  <si>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</si>
  <si>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</si>
  <si>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</si>
  <si>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</si>
  <si>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</si>
  <si>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</si>
  <si>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</si>
  <si>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</si>
  <si>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</si>
  <si>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</si>
  <si>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</si>
  <si>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</si>
  <si>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 xml:space="preserve"> -</t>
  </si>
  <si>
    <t>MELSPX</t>
  </si>
  <si>
    <t>OEDSPX</t>
  </si>
  <si>
    <t>SPISPX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</si>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</sst>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EYBEAU_10-07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N32" sqref="N32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42195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7.538461538461538</v>
      </c>
      <c r="N5" s="50"/>
      <c r="O5" s="51" t="s">
        <v>16</v>
      </c>
      <c r="P5" s="52">
        <v>8.222222222222221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/>
      <c r="D6" s="56"/>
      <c r="E6" s="56"/>
      <c r="F6" s="57"/>
      <c r="G6" s="45"/>
      <c r="H6" s="43"/>
      <c r="I6" s="5"/>
      <c r="J6" s="58"/>
      <c r="K6" s="59"/>
      <c r="L6" s="60" t="s">
        <v>19</v>
      </c>
      <c r="M6" s="61" t="s">
        <v>20</v>
      </c>
      <c r="N6" s="62"/>
      <c r="O6" s="63">
        <v>3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100</v>
      </c>
      <c r="C7" s="68"/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8</v>
      </c>
      <c r="P8" s="85">
        <f>IF(ISERROR(AVERAGE(K23:K82)),"  ",AVERAGE(K23:K82))</f>
        <v>1.25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30.03</v>
      </c>
      <c r="C9" s="88"/>
      <c r="D9" s="89"/>
      <c r="E9" s="89"/>
      <c r="F9" s="90">
        <f>($B9*$B$7+$C9*$C$7)/100</f>
        <v>30.03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2</v>
      </c>
      <c r="P9" s="85">
        <f>IF(ISERROR(STDEVP(K23:K82)),"  ",STDEVP(K23:K82))</f>
        <v>0.4330127018922193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 t="s">
        <v>31</v>
      </c>
      <c r="C10" s="96"/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6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10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>
        <v>30.03</v>
      </c>
      <c r="C12" s="114"/>
      <c r="D12" s="89"/>
      <c r="E12" s="89"/>
      <c r="F12" s="106">
        <f>($B12*$B$7+$C12*$C$7)/100</f>
        <v>30.03</v>
      </c>
      <c r="G12" s="107"/>
      <c r="H12" s="56"/>
      <c r="I12" s="5"/>
      <c r="J12" s="108" t="s">
        <v>38</v>
      </c>
      <c r="K12" s="109"/>
      <c r="L12" s="110">
        <f>COUNTIF($G$23:$G$82,"=ALG")</f>
        <v>4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/>
      <c r="C13" s="114"/>
      <c r="D13" s="89"/>
      <c r="E13" s="89"/>
      <c r="F13" s="106">
        <f>($B13*$B$7+$C13*$C$7)/100</f>
        <v>0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0</v>
      </c>
      <c r="M13" s="111"/>
      <c r="N13" s="120" t="s">
        <v>41</v>
      </c>
      <c r="O13" s="121">
        <f>COUNTIF(F23:F82,"&gt;0")</f>
        <v>4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0</v>
      </c>
      <c r="M14" s="111"/>
      <c r="N14" s="123" t="s">
        <v>44</v>
      </c>
      <c r="O14" s="124">
        <f>COUNTIF($J$23:$J$82,"&gt;-1")</f>
        <v>4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47</v>
      </c>
      <c r="O15" s="121">
        <f>COUNTIF(K23:K82,"=1")</f>
        <v>3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1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30.03</v>
      </c>
      <c r="C17" s="114"/>
      <c r="D17" s="89"/>
      <c r="E17" s="89"/>
      <c r="F17" s="133"/>
      <c r="G17" s="134">
        <f>($B17*$B$7+$C17*$C$7)/100</f>
        <v>30.03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1</v>
      </c>
      <c r="N17" s="120" t="s">
        <v>52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/>
      <c r="C18" s="143"/>
      <c r="D18" s="89"/>
      <c r="E18" s="144" t="s">
        <v>54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30.03</v>
      </c>
      <c r="G19" s="157">
        <f>SUM(G16:G18)</f>
        <v>30.03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30.03</v>
      </c>
      <c r="C20" s="167">
        <f>SUM(C23:C62)</f>
        <v>0</v>
      </c>
      <c r="D20" s="168"/>
      <c r="E20" s="169" t="s">
        <v>54</v>
      </c>
      <c r="F20" s="170">
        <f>($B20*$B$7+$C20*$C$7)/100</f>
        <v>30.03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30.03</v>
      </c>
      <c r="C21" s="178">
        <f>C20*C7/100</f>
        <v>0</v>
      </c>
      <c r="D21" s="179" t="s">
        <v>58</v>
      </c>
      <c r="E21" s="180"/>
      <c r="F21" s="181">
        <f>B21+C21</f>
        <v>30.03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16</v>
      </c>
      <c r="B23" s="207">
        <v>13.36</v>
      </c>
      <c r="C23" s="208"/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Cladophora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13.36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Cladophora sp.</v>
      </c>
      <c r="M23" s="216"/>
      <c r="N23" s="216"/>
      <c r="O23" s="216"/>
      <c r="P23" s="217" t="s">
        <v>80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1124</v>
      </c>
      <c r="R23" s="219">
        <f aca="true" t="shared" si="2" ref="R23:R82">IF(ISTEXT(H23),"",(B23*$B$7/100)+(C23*$C$7/100))</f>
        <v>13.36</v>
      </c>
      <c r="S23" s="220">
        <f aca="true" t="shared" si="3" ref="S23:S82">IF(OR(ISTEXT(H23),R23=0),"",IF(R23&lt;0.1,1,IF(R23&lt;1,2,IF(R23&lt;10,3,IF(R23&lt;50,4,IF(R23&gt;=50,5,""))))))</f>
        <v>4</v>
      </c>
      <c r="T23" s="220">
        <f aca="true" t="shared" si="4" ref="T23:T82">IF(ISERROR(S23*J23),0,S23*J23)</f>
        <v>24</v>
      </c>
      <c r="U23" s="220">
        <f aca="true" t="shared" si="5" ref="U23:U82">IF(ISERROR(S23*J23*K23),0,S23*J23*K23)</f>
        <v>24</v>
      </c>
      <c r="V23" s="220">
        <f aca="true" t="shared" si="6" ref="V23:V82">IF(ISERROR(S23*K23),0,S23*K23)</f>
        <v>4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CLASPX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35</v>
      </c>
    </row>
    <row r="24" spans="1:26" ht="12.75">
      <c r="A24" s="224" t="s">
        <v>81</v>
      </c>
      <c r="B24" s="225">
        <v>0.01</v>
      </c>
      <c r="C24" s="226"/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Melosira sp.</v>
      </c>
      <c r="E24" s="228" t="e">
        <f>IF(D24="",,VLOOKUP(D24,D$22:D23,1,0))</f>
        <v>#N/A</v>
      </c>
      <c r="F24" s="229">
        <f t="shared" si="0"/>
        <v>0.01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10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1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Melosira sp.</v>
      </c>
      <c r="M24" s="233"/>
      <c r="N24" s="233"/>
      <c r="O24" s="233"/>
      <c r="P24" s="234" t="s">
        <v>80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8714</v>
      </c>
      <c r="R24" s="219">
        <f t="shared" si="2"/>
        <v>0.01</v>
      </c>
      <c r="S24" s="220">
        <f t="shared" si="3"/>
        <v>1</v>
      </c>
      <c r="T24" s="220">
        <f t="shared" si="4"/>
        <v>10</v>
      </c>
      <c r="U24" s="220">
        <f t="shared" si="5"/>
        <v>10</v>
      </c>
      <c r="V24" s="236">
        <f t="shared" si="6"/>
        <v>1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MELSPX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62</v>
      </c>
    </row>
    <row r="25" spans="1:26" ht="12.75">
      <c r="A25" s="224" t="s">
        <v>82</v>
      </c>
      <c r="B25" s="225">
        <v>0.15</v>
      </c>
      <c r="C25" s="226"/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Oedogonium sp.</v>
      </c>
      <c r="E25" s="228" t="e">
        <f>IF(D25="",,VLOOKUP(D25,D$22:D24,1,0))</f>
        <v>#N/A</v>
      </c>
      <c r="F25" s="229">
        <f t="shared" si="0"/>
        <v>0.15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6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2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Oedogonium sp.</v>
      </c>
      <c r="M25" s="233"/>
      <c r="N25" s="233"/>
      <c r="O25" s="233"/>
      <c r="P25" s="234" t="s">
        <v>80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1134</v>
      </c>
      <c r="R25" s="219">
        <f t="shared" si="2"/>
        <v>0.15</v>
      </c>
      <c r="S25" s="220">
        <f t="shared" si="3"/>
        <v>2</v>
      </c>
      <c r="T25" s="220">
        <f t="shared" si="4"/>
        <v>12</v>
      </c>
      <c r="U25" s="220">
        <f t="shared" si="5"/>
        <v>24</v>
      </c>
      <c r="V25" s="236">
        <f t="shared" si="6"/>
        <v>4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OEDSPX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85</v>
      </c>
    </row>
    <row r="26" spans="1:26" ht="12.75">
      <c r="A26" s="224" t="s">
        <v>83</v>
      </c>
      <c r="B26" s="225">
        <v>16.51</v>
      </c>
      <c r="C26" s="226"/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Spirogyra sp.</v>
      </c>
      <c r="E26" s="228" t="e">
        <f>IF(D26="",,VLOOKUP(D26,D$22:D25,1,0))</f>
        <v>#N/A</v>
      </c>
      <c r="F26" s="229">
        <f t="shared" si="0"/>
        <v>16.51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10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1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Spirogyra sp.</v>
      </c>
      <c r="M26" s="233"/>
      <c r="N26" s="233"/>
      <c r="O26" s="233"/>
      <c r="P26" s="234" t="s">
        <v>80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1147</v>
      </c>
      <c r="R26" s="219">
        <f t="shared" si="2"/>
        <v>16.51</v>
      </c>
      <c r="S26" s="220">
        <f t="shared" si="3"/>
        <v>4</v>
      </c>
      <c r="T26" s="220">
        <f t="shared" si="4"/>
        <v>40</v>
      </c>
      <c r="U26" s="220">
        <f t="shared" si="5"/>
        <v>40</v>
      </c>
      <c r="V26" s="236">
        <f t="shared" si="6"/>
        <v>4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SPISPX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102</v>
      </c>
    </row>
    <row r="27" spans="1:26" ht="12.75">
      <c r="A27" s="224" t="s">
        <v>55</v>
      </c>
      <c r="B27" s="225"/>
      <c r="C27" s="226"/>
      <c r="D27" s="227">
        <f>IF(ISERROR(VLOOKUP($A27,'[1]liste reference'!$A$6:$B$1174,2,0)),IF(ISERROR(VLOOKUP($A27,'[1]liste reference'!$B$6:$B$1174,1,0)),"",VLOOKUP($A27,'[1]liste reference'!$B$6:$B$1174,1,0)),VLOOKUP($A27,'[1]liste reference'!$A$6:$B$1174,2,0))</f>
      </c>
      <c r="E27" s="228">
        <f>IF(D27="",,VLOOKUP(D27,D$22:D26,1,0))</f>
        <v>0</v>
      </c>
      <c r="F27" s="229">
        <f t="shared" si="0"/>
      </c>
      <c r="G27" s="230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</c>
      <c r="H27" s="231" t="str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x</v>
      </c>
      <c r="I27" s="5">
        <f t="shared" si="1"/>
      </c>
      <c r="J27" s="232" t="str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nu</v>
      </c>
      <c r="K27" s="232" t="str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nu</v>
      </c>
      <c r="L27" s="215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</c>
      <c r="M27" s="233"/>
      <c r="N27" s="233"/>
      <c r="O27" s="233"/>
      <c r="P27" s="234" t="s">
        <v>80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</c>
      <c r="R27" s="219">
        <f t="shared" si="2"/>
      </c>
      <c r="S27" s="220">
        <f t="shared" si="3"/>
      </c>
      <c r="T27" s="220">
        <f t="shared" si="4"/>
        <v>0</v>
      </c>
      <c r="U27" s="220">
        <f t="shared" si="5"/>
        <v>0</v>
      </c>
      <c r="V27" s="236">
        <f t="shared" si="6"/>
        <v>0</v>
      </c>
      <c r="W27" s="237"/>
      <c r="X27" s="238"/>
      <c r="Y27" s="223">
        <f>IF(AND(ISNUMBER(F27),OR(A27="",A27="!!!!!!")),"!!!!!!",IF(A27="new.cod","NEWCOD",IF(AND((Z27=""),ISTEXT(A27),A27&lt;&gt;"!!!!!!"),A27,IF(Z27="","",INDEX('[1]liste reference'!$A$6:$A$1174,Z27)))))</f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</c>
    </row>
    <row r="28" spans="1:26" ht="12.75">
      <c r="A28" s="224" t="s">
        <v>55</v>
      </c>
      <c r="B28" s="225"/>
      <c r="C28" s="226"/>
      <c r="D28" s="227">
        <f>IF(ISERROR(VLOOKUP($A28,'[1]liste reference'!$A$6:$B$1174,2,0)),IF(ISERROR(VLOOKUP($A28,'[1]liste reference'!$B$6:$B$1174,1,0)),"",VLOOKUP($A28,'[1]liste reference'!$B$6:$B$1174,1,0)),VLOOKUP($A28,'[1]liste reference'!$A$6:$B$1174,2,0))</f>
      </c>
      <c r="E28" s="228">
        <f>IF(D28="",,VLOOKUP(D28,D$22:D27,1,0))</f>
        <v>0</v>
      </c>
      <c r="F28" s="229">
        <f t="shared" si="0"/>
      </c>
      <c r="G28" s="230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</c>
      <c r="H28" s="231" t="str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x</v>
      </c>
      <c r="I28" s="5">
        <f t="shared" si="1"/>
      </c>
      <c r="J28" s="232" t="str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nu</v>
      </c>
      <c r="K28" s="232" t="str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nu</v>
      </c>
      <c r="L28" s="215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</c>
      <c r="M28" s="233"/>
      <c r="N28" s="233"/>
      <c r="O28" s="233"/>
      <c r="P28" s="234" t="s">
        <v>80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</c>
      <c r="R28" s="219">
        <f t="shared" si="2"/>
      </c>
      <c r="S28" s="220">
        <f t="shared" si="3"/>
      </c>
      <c r="T28" s="220">
        <f t="shared" si="4"/>
        <v>0</v>
      </c>
      <c r="U28" s="220">
        <f t="shared" si="5"/>
        <v>0</v>
      </c>
      <c r="V28" s="236">
        <f t="shared" si="6"/>
        <v>0</v>
      </c>
      <c r="W28" s="237"/>
      <c r="X28" s="238"/>
      <c r="Y28" s="223">
        <f>IF(AND(ISNUMBER(F28),OR(A28="",A28="!!!!!!")),"!!!!!!",IF(A28="new.cod","NEWCOD",IF(AND((Z28=""),ISTEXT(A28),A28&lt;&gt;"!!!!!!"),A28,IF(Z28="","",INDEX('[1]liste reference'!$A$6:$A$1174,Z28)))))</f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</c>
    </row>
    <row r="29" spans="1:26" ht="12.75">
      <c r="A29" s="224" t="s">
        <v>55</v>
      </c>
      <c r="B29" s="225"/>
      <c r="C29" s="226"/>
      <c r="D29" s="227">
        <f>IF(ISERROR(VLOOKUP($A29,'[1]liste reference'!$A$6:$B$1174,2,0)),IF(ISERROR(VLOOKUP($A29,'[1]liste reference'!$B$6:$B$1174,1,0)),"",VLOOKUP($A29,'[1]liste reference'!$B$6:$B$1174,1,0)),VLOOKUP($A29,'[1]liste reference'!$A$6:$B$1174,2,0))</f>
      </c>
      <c r="E29" s="228">
        <f>IF(D29="",,VLOOKUP(D29,D$22:D28,1,0))</f>
        <v>0</v>
      </c>
      <c r="F29" s="229">
        <f t="shared" si="0"/>
      </c>
      <c r="G29" s="230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</c>
      <c r="H29" s="231" t="str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x</v>
      </c>
      <c r="I29" s="5">
        <f t="shared" si="1"/>
      </c>
      <c r="J29" s="232" t="str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nu</v>
      </c>
      <c r="K29" s="232" t="str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nu</v>
      </c>
      <c r="L29" s="215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</c>
      <c r="M29" s="233"/>
      <c r="N29" s="233"/>
      <c r="O29" s="233"/>
      <c r="P29" s="234" t="s">
        <v>80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</c>
      <c r="R29" s="219">
        <f t="shared" si="2"/>
      </c>
      <c r="S29" s="220">
        <f t="shared" si="3"/>
      </c>
      <c r="T29" s="220">
        <f t="shared" si="4"/>
        <v>0</v>
      </c>
      <c r="U29" s="220">
        <f t="shared" si="5"/>
        <v>0</v>
      </c>
      <c r="V29" s="236">
        <f t="shared" si="6"/>
        <v>0</v>
      </c>
      <c r="W29" s="237"/>
      <c r="X29" s="238"/>
      <c r="Y29" s="223">
        <f>IF(AND(ISNUMBER(F29),OR(A29="",A29="!!!!!!")),"!!!!!!",IF(A29="new.cod","NEWCOD",IF(AND((Z29=""),ISTEXT(A29),A29&lt;&gt;"!!!!!!"),A29,IF(Z29="","",INDEX('[1]liste reference'!$A$6:$A$1174,Z29)))))</f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</c>
    </row>
    <row r="30" spans="1:26" ht="12.75">
      <c r="A30" s="224" t="s">
        <v>55</v>
      </c>
      <c r="B30" s="225"/>
      <c r="C30" s="226"/>
      <c r="D30" s="227">
        <f>IF(ISERROR(VLOOKUP($A30,'[1]liste reference'!$A$6:$B$1174,2,0)),IF(ISERROR(VLOOKUP($A30,'[1]liste reference'!$B$6:$B$1174,1,0)),"",VLOOKUP($A30,'[1]liste reference'!$B$6:$B$1174,1,0)),VLOOKUP($A30,'[1]liste reference'!$A$6:$B$1174,2,0))</f>
      </c>
      <c r="E30" s="228">
        <f>IF(D30="",,VLOOKUP(D30,D$22:D29,1,0))</f>
        <v>0</v>
      </c>
      <c r="F30" s="229">
        <f t="shared" si="0"/>
      </c>
      <c r="G30" s="230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</c>
      <c r="H30" s="231" t="str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x</v>
      </c>
      <c r="I30" s="5">
        <f t="shared" si="1"/>
      </c>
      <c r="J30" s="232" t="str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nu</v>
      </c>
      <c r="K30" s="232" t="str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nu</v>
      </c>
      <c r="L30" s="215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</c>
      <c r="M30" s="233"/>
      <c r="N30" s="233"/>
      <c r="O30" s="233"/>
      <c r="P30" s="234" t="s">
        <v>80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</c>
      <c r="R30" s="219">
        <f t="shared" si="2"/>
      </c>
      <c r="S30" s="220">
        <f t="shared" si="3"/>
      </c>
      <c r="T30" s="220">
        <f t="shared" si="4"/>
        <v>0</v>
      </c>
      <c r="U30" s="220">
        <f t="shared" si="5"/>
        <v>0</v>
      </c>
      <c r="V30" s="236">
        <f t="shared" si="6"/>
        <v>0</v>
      </c>
      <c r="W30" s="237"/>
      <c r="X30" s="238"/>
      <c r="Y30" s="223">
        <f>IF(AND(ISNUMBER(F30),OR(A30="",A30="!!!!!!")),"!!!!!!",IF(A30="new.cod","NEWCOD",IF(AND((Z30=""),ISTEXT(A30),A30&lt;&gt;"!!!!!!"),A30,IF(Z30="","",INDEX('[1]liste reference'!$A$6:$A$1174,Z30)))))</f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</c>
    </row>
    <row r="31" spans="1:26" ht="12.75">
      <c r="A31" s="224" t="s">
        <v>55</v>
      </c>
      <c r="B31" s="225"/>
      <c r="C31" s="226"/>
      <c r="D31" s="227">
        <f>IF(ISERROR(VLOOKUP($A31,'[1]liste reference'!$A$6:$B$1174,2,0)),IF(ISERROR(VLOOKUP($A31,'[1]liste reference'!$B$6:$B$1174,1,0)),"",VLOOKUP($A31,'[1]liste reference'!$B$6:$B$1174,1,0)),VLOOKUP($A31,'[1]liste reference'!$A$6:$B$1174,2,0))</f>
      </c>
      <c r="E31" s="228">
        <f>IF(D31="",,VLOOKUP(D31,D$22:D30,1,0))</f>
        <v>0</v>
      </c>
      <c r="F31" s="229">
        <f t="shared" si="0"/>
      </c>
      <c r="G31" s="230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</c>
      <c r="H31" s="231" t="str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x</v>
      </c>
      <c r="I31" s="5">
        <f t="shared" si="1"/>
      </c>
      <c r="J31" s="232" t="str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nu</v>
      </c>
      <c r="K31" s="232" t="str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nu</v>
      </c>
      <c r="L31" s="215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</c>
      <c r="M31" s="233"/>
      <c r="N31" s="233"/>
      <c r="O31" s="233"/>
      <c r="P31" s="234" t="s">
        <v>80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</c>
      <c r="R31" s="219">
        <f t="shared" si="2"/>
      </c>
      <c r="S31" s="220">
        <f t="shared" si="3"/>
      </c>
      <c r="T31" s="220">
        <f t="shared" si="4"/>
        <v>0</v>
      </c>
      <c r="U31" s="220">
        <f t="shared" si="5"/>
        <v>0</v>
      </c>
      <c r="V31" s="236">
        <f t="shared" si="6"/>
        <v>0</v>
      </c>
      <c r="W31" s="237"/>
      <c r="X31" s="238"/>
      <c r="Y31" s="223">
        <f>IF(AND(ISNUMBER(F31),OR(A31="",A31="!!!!!!")),"!!!!!!",IF(A31="new.cod","NEWCOD",IF(AND((Z31=""),ISTEXT(A31),A31&lt;&gt;"!!!!!!"),A31,IF(Z31="","",INDEX('[1]liste reference'!$A$6:$A$1174,Z31)))))</f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</c>
    </row>
    <row r="32" spans="1:26" ht="12.75">
      <c r="A32" s="224" t="s">
        <v>55</v>
      </c>
      <c r="B32" s="225"/>
      <c r="C32" s="226"/>
      <c r="D32" s="227">
        <f>IF(ISERROR(VLOOKUP($A32,'[1]liste reference'!$A$6:$B$1174,2,0)),IF(ISERROR(VLOOKUP($A32,'[1]liste reference'!$B$6:$B$1174,1,0)),"",VLOOKUP($A32,'[1]liste reference'!$B$6:$B$1174,1,0)),VLOOKUP($A32,'[1]liste reference'!$A$6:$B$1174,2,0))</f>
      </c>
      <c r="E32" s="228">
        <f>IF(D32="",,VLOOKUP(D32,D$22:D31,1,0))</f>
        <v>0</v>
      </c>
      <c r="F32" s="229">
        <f t="shared" si="0"/>
      </c>
      <c r="G32" s="230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</c>
      <c r="H32" s="231" t="str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x</v>
      </c>
      <c r="I32" s="5">
        <f t="shared" si="1"/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nu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nu</v>
      </c>
      <c r="L32" s="215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</c>
      <c r="M32" s="233"/>
      <c r="N32" s="233"/>
      <c r="O32" s="233"/>
      <c r="P32" s="234" t="s">
        <v>80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</c>
      <c r="R32" s="219">
        <f t="shared" si="2"/>
      </c>
      <c r="S32" s="220">
        <f t="shared" si="3"/>
      </c>
      <c r="T32" s="220">
        <f t="shared" si="4"/>
        <v>0</v>
      </c>
      <c r="U32" s="220">
        <f t="shared" si="5"/>
        <v>0</v>
      </c>
      <c r="V32" s="236">
        <f t="shared" si="6"/>
        <v>0</v>
      </c>
      <c r="W32" s="237"/>
      <c r="X32" s="238"/>
      <c r="Y32" s="223">
        <f>IF(AND(ISNUMBER(F32),OR(A32="",A32="!!!!!!")),"!!!!!!",IF(A32="new.cod","NEWCOD",IF(AND((Z32=""),ISTEXT(A32),A32&lt;&gt;"!!!!!!"),A32,IF(Z32="","",INDEX('[1]liste reference'!$A$6:$A$1174,Z32)))))</f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</c>
    </row>
    <row r="33" spans="1:26" ht="12.75">
      <c r="A33" s="224" t="s">
        <v>55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80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55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80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55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80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55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80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55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80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55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80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55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80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55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80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55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80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55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80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55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80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55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80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55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80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55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80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55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80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80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80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80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80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80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80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80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80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80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80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80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80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80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80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80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80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80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80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80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80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80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80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80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80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80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80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80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80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80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80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80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80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80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80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80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30.03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13</v>
      </c>
      <c r="W83" s="220"/>
      <c r="X83" s="258"/>
      <c r="Y83" s="258"/>
      <c r="Z83" s="259"/>
    </row>
    <row r="84" spans="1:26" ht="12.75" hidden="1">
      <c r="A84" s="253" t="str">
        <f>A3</f>
        <v>EYRIEUX</v>
      </c>
      <c r="B84" s="187" t="str">
        <f>C3</f>
        <v>EYRIEUX A BEAUCHASTEL</v>
      </c>
      <c r="C84" s="260" t="str">
        <f>A4</f>
        <v>(Date)</v>
      </c>
      <c r="D84" s="261">
        <f>IF(OR(ISERROR(SUM($U$23:$U$82)/SUM($V$23:$V$82)),F7&lt;&gt;100),-1,SUM($U$23:$U$82)/SUM($V$23:$V$82))</f>
        <v>7.538461538461538</v>
      </c>
      <c r="E84" s="262">
        <f>O13</f>
        <v>4</v>
      </c>
      <c r="F84" s="187">
        <f>O14</f>
        <v>4</v>
      </c>
      <c r="G84" s="187">
        <f>O15</f>
        <v>3</v>
      </c>
      <c r="H84" s="187">
        <f>O16</f>
        <v>1</v>
      </c>
      <c r="I84" s="187">
        <f>O17</f>
        <v>0</v>
      </c>
      <c r="J84" s="263">
        <f>O8</f>
        <v>8</v>
      </c>
      <c r="K84" s="264">
        <f>O9</f>
        <v>2</v>
      </c>
      <c r="L84" s="265">
        <f>O10</f>
        <v>6</v>
      </c>
      <c r="M84" s="265">
        <f>O11</f>
        <v>10</v>
      </c>
      <c r="N84" s="264">
        <f>P8</f>
        <v>1.25</v>
      </c>
      <c r="O84" s="264">
        <f>P9</f>
        <v>0.4330127018922193</v>
      </c>
      <c r="P84" s="265">
        <f>P10</f>
        <v>1</v>
      </c>
      <c r="Q84" s="265">
        <f>P11</f>
        <v>2</v>
      </c>
      <c r="R84" s="265">
        <f>F21</f>
        <v>30.03</v>
      </c>
      <c r="S84" s="265">
        <f>L11</f>
        <v>0</v>
      </c>
      <c r="T84" s="265">
        <f>L12</f>
        <v>4</v>
      </c>
      <c r="U84" s="265">
        <f>L13</f>
        <v>0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84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85</v>
      </c>
      <c r="S87" s="5"/>
      <c r="T87" s="272">
        <f>VLOOKUP($T$91,($A$23:$U$82),20,FALSE)</f>
        <v>24</v>
      </c>
      <c r="U87" s="5"/>
      <c r="V87" s="5"/>
    </row>
    <row r="88" spans="3:22" ht="12.75" hidden="1">
      <c r="C88" s="269"/>
      <c r="D88" s="269"/>
      <c r="E88" s="269"/>
      <c r="R88" s="5" t="s">
        <v>86</v>
      </c>
      <c r="S88" s="5"/>
      <c r="T88" s="272">
        <f>VLOOKUP($T$91,($A$23:$U$82),21,FALSE)</f>
        <v>24</v>
      </c>
      <c r="U88" s="5"/>
      <c r="V88" s="5">
        <f>COUNTIF(V23:V82,T89)</f>
        <v>3</v>
      </c>
    </row>
    <row r="89" spans="3:21" ht="12.75" hidden="1">
      <c r="C89" s="269"/>
      <c r="D89" s="269"/>
      <c r="E89" s="269"/>
      <c r="R89" s="5" t="s">
        <v>87</v>
      </c>
      <c r="S89" s="5"/>
      <c r="T89" s="272">
        <f>MAX($V$23:$V$82)</f>
        <v>4</v>
      </c>
      <c r="U89" s="5"/>
    </row>
    <row r="90" spans="3:21" ht="12.75" hidden="1">
      <c r="C90" s="269"/>
      <c r="D90" s="269"/>
      <c r="E90" s="269"/>
      <c r="R90" s="5" t="s">
        <v>88</v>
      </c>
      <c r="S90" s="5" t="s">
        <v>10</v>
      </c>
      <c r="T90" s="273">
        <f>IF(OR(ISERROR(SUM($U$23:$U$82)/SUM($V$23:$V$82)),F7&lt;&gt;100),-1,(SUM($U$23:$U$82)-T88)/(SUM($V$23:$V$82)-T89))</f>
        <v>8.222222222222221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89</v>
      </c>
      <c r="S91" s="220"/>
      <c r="T91" s="220" t="str">
        <f>INDEX('[1]liste reference'!$A$6:$A$1174,$U$91)</f>
        <v>CLASPX</v>
      </c>
      <c r="U91" s="5">
        <f>IF(ISERROR(MATCH($T$93,'[1]liste reference'!$A$6:$A$1174,0)),MATCH($T$93,'[1]liste reference'!$B$6:$B$1174,0),(MATCH($T$93,'[1]liste reference'!$A$6:$A$1174,0)))</f>
        <v>35</v>
      </c>
      <c r="V91" s="274"/>
    </row>
    <row r="92" spans="3:21" ht="12.75" hidden="1">
      <c r="C92" s="269"/>
      <c r="D92" s="269"/>
      <c r="E92" s="269"/>
      <c r="R92" s="5" t="s">
        <v>90</v>
      </c>
      <c r="S92" s="5"/>
      <c r="T92" s="5">
        <f>MATCH(T89,$V$23:$V$82,0)</f>
        <v>1</v>
      </c>
      <c r="U92" s="5"/>
    </row>
    <row r="93" spans="3:21" ht="12.75" hidden="1">
      <c r="C93" s="269"/>
      <c r="D93" s="269"/>
      <c r="E93" s="269"/>
      <c r="R93" s="220" t="s">
        <v>91</v>
      </c>
      <c r="S93" s="5"/>
      <c r="T93" s="220" t="str">
        <f>INDEX($A$23:$A$82,$T$92)</f>
        <v>CLASPX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2016-03-01T11:13:02Z</dcterms:created>
  <dcterms:modified xsi:type="dcterms:W3CDTF">2016-03-01T11:13:04Z</dcterms:modified>
  <cp:category/>
  <cp:version/>
  <cp:contentType/>
  <cp:contentStatus/>
</cp:coreProperties>
</file>