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1042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<sst xmlns="http://schemas.openxmlformats.org/spreadsheetml/2006/main" count="217" uniqueCount="97">
  <si>
    <t>Relevés floristiques aquatiques - IBMR</t>
  </si>
  <si>
    <t>modèle Irstea-GIS</t>
  </si>
  <si>
    <t>SAGE Environnement</t>
  </si>
  <si>
    <t>Bourgoin/Schneider</t>
  </si>
  <si>
    <t>Drôme</t>
  </si>
  <si>
    <t>Drôme à Ponet St St Auban</t>
  </si>
  <si>
    <t>06108000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</si>
  <si>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</si>
  <si>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</si>
  <si>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</si>
  <si>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</si>
  <si>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</si>
  <si>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</si>
  <si>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</si>
  <si>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</si>
  <si>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</si>
  <si>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</si>
  <si>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</si>
  <si>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</si>
  <si>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</si>
  <si>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</si>
  <si>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</si>
  <si>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</si>
  <si>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</si>
  <si>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</si>
  <si>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</si>
  <si>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</si>
  <si>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</si>
  <si>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</si>
  <si>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</si>
  <si>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</si>
  <si>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</si>
  <si>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</si>
  <si>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</si>
  <si>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</si>
  <si>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</si>
  <si>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</si>
  <si>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</si>
  <si>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</si>
  <si>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</si>
  <si>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</si>
  <si>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</si>
  <si>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</si>
  <si>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</si>
  <si>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</si>
  <si>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</si>
  <si>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</si>
  <si>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</si>
  <si>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</si>
  <si>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</si>
  <si>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</si>
  <si>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</si>
  <si>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</si>
  <si>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</si>
  <si>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</si>
  <si>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</si>
  <si>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</si>
  <si>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</si>
  <si>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</si>
  <si>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</si>
  <si>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</si>
  <si>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</si>
  <si>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</si>
  <si>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</si>
  <si>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</si>
  <si>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</si>
  <si>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</si>
  <si>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</si>
  <si>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</si>
  <si>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</si>
  <si>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</si>
  <si>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</si>
  <si>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</si>
  <si>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</si>
  <si>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</si>
  <si>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</si>
  <si>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</si>
  <si>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</si>
  <si>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</si>
  <si>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</si>
  <si>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</si>
  <si>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</si>
  <si>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</si>
  <si>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DRASPX</t>
  </si>
  <si>
    <t>HOMSPX</t>
  </si>
  <si>
    <t>SPISPX</t>
  </si>
  <si>
    <t>STITEN</t>
  </si>
  <si>
    <t>RHYRIP</t>
  </si>
  <si>
    <t>GLYFLU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</si>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</sst>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OPO_08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10.647058823529411</v>
      </c>
      <c r="N5" s="50"/>
      <c r="O5" s="51" t="s">
        <v>16</v>
      </c>
      <c r="P5" s="52">
        <v>9.923076923076923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98</v>
      </c>
      <c r="C7" s="68">
        <v>2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10.571428571428571</v>
      </c>
      <c r="P8" s="85">
        <f>IF(ISERROR(AVERAGE(K23:K82)),"  ",AVERAGE(K23:K82))</f>
        <v>1.8571428571428572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0.72</v>
      </c>
      <c r="C9" s="88">
        <v>20.02</v>
      </c>
      <c r="D9" s="89"/>
      <c r="E9" s="89"/>
      <c r="F9" s="90">
        <f>($B9*$B$7+$C9*$C$7)/100</f>
        <v>1.1059999999999999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5.178448274397674</v>
      </c>
      <c r="P9" s="85">
        <f>IF(ISERROR(STDEVP(K23:K82)),"  ",STDEVP(K23:K82))</f>
        <v>0.8329931278350429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1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18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0.71</v>
      </c>
      <c r="C12" s="114">
        <v>20.01</v>
      </c>
      <c r="D12" s="89"/>
      <c r="E12" s="89"/>
      <c r="F12" s="106">
        <f>($B12*$B$7+$C12*$C$7)/100</f>
        <v>1.0959999999999999</v>
      </c>
      <c r="G12" s="107"/>
      <c r="H12" s="56"/>
      <c r="I12" s="5"/>
      <c r="J12" s="108" t="s">
        <v>39</v>
      </c>
      <c r="K12" s="109"/>
      <c r="L12" s="110">
        <f>COUNTIF($G$23:$G$82,"=ALG")</f>
        <v>6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0.01</v>
      </c>
      <c r="C13" s="114"/>
      <c r="D13" s="89"/>
      <c r="E13" s="89"/>
      <c r="F13" s="106">
        <f>($B13*$B$7+$C13*$C$7)/100</f>
        <v>0.0098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</v>
      </c>
      <c r="M13" s="111"/>
      <c r="N13" s="120" t="s">
        <v>42</v>
      </c>
      <c r="O13" s="121">
        <f>COUNTIF(F23:F82,"&gt;0")</f>
        <v>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7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>
        <v>0.01</v>
      </c>
      <c r="D15" s="89"/>
      <c r="E15" s="89"/>
      <c r="F15" s="106">
        <f>($B15*$B$7+$C15*$C$7)/100</f>
        <v>0.0002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48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>
        <v>0.01</v>
      </c>
      <c r="D16" s="89"/>
      <c r="E16" s="89"/>
      <c r="F16" s="129"/>
      <c r="G16" s="130">
        <f>($B16*$B$7+$C16*$C$7)/100</f>
        <v>0.0002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0.72</v>
      </c>
      <c r="C17" s="114">
        <v>20.01</v>
      </c>
      <c r="D17" s="89"/>
      <c r="E17" s="89"/>
      <c r="F17" s="133"/>
      <c r="G17" s="134">
        <f>($B17*$B$7+$C17*$C$7)/100</f>
        <v>1.1058000000000001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0.875</v>
      </c>
      <c r="N17" s="120" t="s">
        <v>53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1.1059999999999999</v>
      </c>
      <c r="G19" s="157">
        <f>SUM(G16:G18)</f>
        <v>1.106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0.7282</v>
      </c>
      <c r="C20" s="167">
        <f>SUM(C23:C62)</f>
        <v>20.020000000000003</v>
      </c>
      <c r="D20" s="168"/>
      <c r="E20" s="169" t="s">
        <v>55</v>
      </c>
      <c r="F20" s="170">
        <f>($B20*$B$7+$C20*$C$7)/100</f>
        <v>1.114036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0.7136359999999999</v>
      </c>
      <c r="C21" s="178">
        <f>C20*C7/100</f>
        <v>0.4004000000000001</v>
      </c>
      <c r="D21" s="179" t="s">
        <v>59</v>
      </c>
      <c r="E21" s="180"/>
      <c r="F21" s="181">
        <f>B21+C21</f>
        <v>1.114036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0.22019999999999998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0.215796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>IF(ISTEXT(H23),"",(B23*$B$7/100)+(C23*$C$7/100))</f>
        <v>0.215796</v>
      </c>
      <c r="S23" s="220">
        <f>IF(OR(ISTEXT(H23),R23=0),"",IF(R23&lt;0.1,1,IF(R23&lt;1,2,IF(R23&lt;10,3,IF(R23&lt;50,4,IF(R23&gt;=50,5,""))))))</f>
        <v>2</v>
      </c>
      <c r="T23" s="220">
        <f>IF(ISERROR(S23*J23),0,S23*J23)</f>
        <v>12</v>
      </c>
      <c r="U23" s="220">
        <f>IF(ISERROR(S23*J23*K23),0,S23*J23*K23)</f>
        <v>12</v>
      </c>
      <c r="V23" s="220">
        <f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Draparnaldia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0.0098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18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3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Draparnaldia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1118</v>
      </c>
      <c r="R24" s="219">
        <f>IF(ISTEXT(H24),"",(B24*$B$7/100)+(C24*$C$7/100))</f>
        <v>0.0098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18</v>
      </c>
      <c r="U24" s="220">
        <f>IF(ISERROR(S24*J24*K24),0,S24*J24*K24)</f>
        <v>54</v>
      </c>
      <c r="V24" s="236">
        <f>IF(ISERROR(S24*K24),0,S24*K24)</f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DRASPX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42</v>
      </c>
    </row>
    <row r="25" spans="1:26" ht="12.75">
      <c r="A25" s="224" t="s">
        <v>84</v>
      </c>
      <c r="B25" s="225">
        <v>0.174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Homoeothrix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0.17052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Homoeothrix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6395</v>
      </c>
      <c r="R25" s="219">
        <f>IF(ISTEXT(H25),"",(B25*$B$7/100)+(C25*$C$7/100))</f>
        <v>0.17052</v>
      </c>
      <c r="S25" s="220">
        <f>IF(OR(ISTEXT(H25),R25=0),"",IF(R25&lt;0.1,1,IF(R25&lt;1,2,IF(R25&lt;10,3,IF(R25&lt;50,4,IF(R25&gt;=50,5,""))))))</f>
        <v>2</v>
      </c>
      <c r="T25" s="220">
        <f>IF(ISERROR(S25*J25),0,S25*J25)</f>
        <v>0</v>
      </c>
      <c r="U25" s="220">
        <f>IF(ISERROR(S25*J25*K25),0,S25*J25*K25)</f>
        <v>0</v>
      </c>
      <c r="V25" s="236">
        <f>IF(ISERROR(S25*K25),0,S25*K25)</f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HOMSPX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54</v>
      </c>
    </row>
    <row r="26" spans="1:26" ht="12.75">
      <c r="A26" s="224" t="s">
        <v>16</v>
      </c>
      <c r="B26" s="225">
        <v>0.205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Phormidium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0.2009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Phormidium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6414</v>
      </c>
      <c r="R26" s="219">
        <f>IF(ISTEXT(H26),"",(B26*$B$7/100)+(C26*$C$7/100))</f>
        <v>0.2009</v>
      </c>
      <c r="S26" s="220">
        <f>IF(OR(ISTEXT(H26),R26=0),"",IF(R26&lt;0.1,1,IF(R26&lt;1,2,IF(R26&lt;10,3,IF(R26&lt;50,4,IF(R26&gt;=50,5,""))))))</f>
        <v>2</v>
      </c>
      <c r="T26" s="220">
        <f>IF(ISERROR(S26*J26),0,S26*J26)</f>
        <v>26</v>
      </c>
      <c r="U26" s="220">
        <f>IF(ISERROR(S26*J26*K26),0,S26*J26*K26)</f>
        <v>52</v>
      </c>
      <c r="V26" s="236">
        <f>IF(ISERROR(S26*K26),0,S26*K26)</f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PHOSPX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88</v>
      </c>
    </row>
    <row r="27" spans="1:26" ht="12.75">
      <c r="A27" s="224" t="s">
        <v>85</v>
      </c>
      <c r="B27" s="225">
        <v>0.099</v>
      </c>
      <c r="C27" s="226">
        <v>20.01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Spirogyra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0.49722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Spirogyra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1147</v>
      </c>
      <c r="R27" s="219">
        <f>IF(ISTEXT(H27),"",(B27*$B$7/100)+(C27*$C$7/100))</f>
        <v>0.49722000000000005</v>
      </c>
      <c r="S27" s="220">
        <f>IF(OR(ISTEXT(H27),R27=0),"",IF(R27&lt;0.1,1,IF(R27&lt;1,2,IF(R27&lt;10,3,IF(R27&lt;50,4,IF(R27&gt;=50,5,""))))))</f>
        <v>2</v>
      </c>
      <c r="T27" s="220">
        <f>IF(ISERROR(S27*J27),0,S27*J27)</f>
        <v>20</v>
      </c>
      <c r="U27" s="220">
        <f>IF(ISERROR(S27*J27*K27),0,S27*J27*K27)</f>
        <v>20</v>
      </c>
      <c r="V27" s="236">
        <f>IF(ISERROR(S27*K27),0,S27*K27)</f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SPISPX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102</v>
      </c>
    </row>
    <row r="28" spans="1:26" ht="12.75">
      <c r="A28" s="224" t="s">
        <v>86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Stigeoclonium tenue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0.0098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3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Stigeoclonium tenue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5583</v>
      </c>
      <c r="R28" s="219">
        <f>IF(ISTEXT(H28),"",(B28*$B$7/100)+(C28*$C$7/100))</f>
        <v>0.0098</v>
      </c>
      <c r="S28" s="220">
        <f>IF(OR(ISTEXT(H28),R28=0),"",IF(R28&lt;0.1,1,IF(R28&lt;1,2,IF(R28&lt;10,3,IF(R28&lt;50,4,IF(R28&gt;=50,5,""))))))</f>
        <v>1</v>
      </c>
      <c r="T28" s="220">
        <f>IF(ISERROR(S28*J28),0,S28*J28)</f>
        <v>1</v>
      </c>
      <c r="U28" s="220">
        <f>IF(ISERROR(S28*J28*K28),0,S28*J28*K28)</f>
        <v>3</v>
      </c>
      <c r="V28" s="236">
        <f>IF(ISERROR(S28*K28),0,S28*K28)</f>
        <v>3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STITEN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105</v>
      </c>
    </row>
    <row r="29" spans="1:26" ht="12.75">
      <c r="A29" s="224" t="s">
        <v>87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Rhynchostegium riparioides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0.0098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12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Rhynchostegium riparioides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31691</v>
      </c>
      <c r="R29" s="219">
        <f>IF(ISTEXT(H29),"",(B29*$B$7/100)+(C29*$C$7/100))</f>
        <v>0.0098</v>
      </c>
      <c r="S29" s="220">
        <f>IF(OR(ISTEXT(H29),R29=0),"",IF(R29&lt;0.1,1,IF(R29&lt;1,2,IF(R29&lt;10,3,IF(R29&lt;50,4,IF(R29&gt;=50,5,""))))))</f>
        <v>1</v>
      </c>
      <c r="T29" s="220">
        <f>IF(ISERROR(S29*J29),0,S29*J29)</f>
        <v>12</v>
      </c>
      <c r="U29" s="220">
        <f>IF(ISERROR(S29*J29*K29),0,S29*J29*K29)</f>
        <v>12</v>
      </c>
      <c r="V29" s="236">
        <f>IF(ISERROR(S29*K29),0,S29*K29)</f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RHYRIP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345</v>
      </c>
    </row>
    <row r="30" spans="1:26" ht="12.75">
      <c r="A30" s="224" t="s">
        <v>88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Glyceria fluitans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0.0002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PHe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8</v>
      </c>
      <c r="I30" s="5">
        <f>IF(A30="","",1)</f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14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Glyceria fluitans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1564</v>
      </c>
      <c r="R30" s="219">
        <f>IF(ISTEXT(H30),"",(B30*$B$7/100)+(C30*$C$7/100))</f>
        <v>0.0002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14</v>
      </c>
      <c r="U30" s="220">
        <f>IF(ISERROR(S30*J30*K30),0,S30*J30*K30)</f>
        <v>28</v>
      </c>
      <c r="V30" s="236">
        <f>IF(ISERROR(S30*K30),0,S30*K30)</f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GLYFLU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676</v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>IF(AND(OR(A31="",A31="!!!!!!"),B31="",C31=""),"",IF(OR(AND(B31="",C31=""),ISERROR(C31+B31)),"!!!",($B31*$B$7+$C31*$C$7)/100))</f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>IF(A31="","",1)</f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>IF(ISTEXT(H31),"",(B31*$B$7/100)+(C31*$C$7/100))</f>
      </c>
      <c r="S31" s="220">
        <f>IF(OR(ISTEXT(H31),R31=0),"",IF(R31&lt;0.1,1,IF(R31&lt;1,2,IF(R31&lt;10,3,IF(R31&lt;50,4,IF(R31&gt;=50,5,""))))))</f>
      </c>
      <c r="T31" s="220">
        <f>IF(ISERROR(S31*J31),0,S31*J31)</f>
        <v>0</v>
      </c>
      <c r="U31" s="220">
        <f>IF(ISERROR(S31*J31*K31),0,S31*J31*K31)</f>
        <v>0</v>
      </c>
      <c r="V31" s="236">
        <f>IF(ISERROR(S31*K31),0,S31*K31)</f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>IF(AND(OR(A32="",A32="!!!!!!"),B32="",C32=""),"",IF(OR(AND(B32="",C32=""),ISERROR(C32+B32)),"!!!",($B32*$B$7+$C32*$C$7)/100))</f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>IF(A32="","",1)</f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>IF(ISTEXT(H32),"",(B32*$B$7/100)+(C32*$C$7/100))</f>
      </c>
      <c r="S32" s="220">
        <f>IF(OR(ISTEXT(H32),R32=0),"",IF(R32&lt;0.1,1,IF(R32&lt;1,2,IF(R32&lt;10,3,IF(R32&lt;50,4,IF(R32&gt;=50,5,""))))))</f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>IF(AND(OR(A33="",A33="!!!!!!"),B33="",C33=""),"",IF(OR(AND(B33="",C33=""),ISERROR(C33+B33)),"!!!",($B33*$B$7+$C33*$C$7)/100))</f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>IF(A33="","",1)</f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>IF(ISTEXT(H33),"",(B33*$B$7/100)+(C33*$C$7/100))</f>
      </c>
      <c r="S33" s="220">
        <f>IF(OR(ISTEXT(H33),R33=0),"",IF(R33&lt;0.1,1,IF(R33&lt;1,2,IF(R33&lt;10,3,IF(R33&lt;50,4,IF(R33&gt;=50,5,""))))))</f>
      </c>
      <c r="T33" s="220">
        <f>IF(ISERROR(S33*J33),0,S33*J33)</f>
        <v>0</v>
      </c>
      <c r="U33" s="220">
        <f>IF(ISERROR(S33*J33*K33),0,S33*J33*K33)</f>
        <v>0</v>
      </c>
      <c r="V33" s="236">
        <f>IF(ISERROR(S33*K33),0,S33*K33)</f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>IF(AND(OR(A34="",A34="!!!!!!"),B34="",C34=""),"",IF(OR(AND(B34="",C34=""),ISERROR(C34+B34)),"!!!",($B34*$B$7+$C34*$C$7)/100))</f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>IF(A34="","",1)</f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>IF(ISTEXT(H34),"",(B34*$B$7/100)+(C34*$C$7/100))</f>
      </c>
      <c r="S34" s="220">
        <f>IF(OR(ISTEXT(H34),R34=0),"",IF(R34&lt;0.1,1,IF(R34&lt;1,2,IF(R34&lt;10,3,IF(R34&lt;50,4,IF(R34&gt;=50,5,""))))))</f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>IF(AND(OR(A35="",A35="!!!!!!"),B35="",C35=""),"",IF(OR(AND(B35="",C35=""),ISERROR(C35+B35)),"!!!",($B35*$B$7+$C35*$C$7)/100))</f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>IF(A35="","",1)</f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>IF(ISTEXT(H35),"",(B35*$B$7/100)+(C35*$C$7/100))</f>
      </c>
      <c r="S35" s="220">
        <f>IF(OR(ISTEXT(H35),R35=0),"",IF(R35&lt;0.1,1,IF(R35&lt;1,2,IF(R35&lt;10,3,IF(R35&lt;50,4,IF(R35&gt;=50,5,""))))))</f>
      </c>
      <c r="T35" s="220">
        <f>IF(ISERROR(S35*J35),0,S35*J35)</f>
        <v>0</v>
      </c>
      <c r="U35" s="220">
        <f>IF(ISERROR(S35*J35*K35),0,S35*J35*K35)</f>
        <v>0</v>
      </c>
      <c r="V35" s="236">
        <f>IF(ISERROR(S35*K35),0,S35*K35)</f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>IF(AND(OR(A36="",A36="!!!!!!"),B36="",C36=""),"",IF(OR(AND(B36="",C36=""),ISERROR(C36+B36)),"!!!",($B36*$B$7+$C36*$C$7)/100))</f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>IF(A36="","",1)</f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>IF(ISTEXT(H36),"",(B36*$B$7/100)+(C36*$C$7/100))</f>
      </c>
      <c r="S36" s="220">
        <f>IF(OR(ISTEXT(H36),R36=0),"",IF(R36&lt;0.1,1,IF(R36&lt;1,2,IF(R36&lt;10,3,IF(R36&lt;50,4,IF(R36&gt;=50,5,""))))))</f>
      </c>
      <c r="T36" s="220">
        <f>IF(ISERROR(S36*J36),0,S36*J36)</f>
        <v>0</v>
      </c>
      <c r="U36" s="220">
        <f>IF(ISERROR(S36*J36*K36),0,S36*J36*K36)</f>
        <v>0</v>
      </c>
      <c r="V36" s="236">
        <f>IF(ISERROR(S36*K36),0,S36*K36)</f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1.114036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17</v>
      </c>
      <c r="W83" s="220"/>
      <c r="X83" s="258"/>
      <c r="Y83" s="258"/>
      <c r="Z83" s="259"/>
    </row>
    <row r="84" spans="1:26" ht="12.75" hidden="1">
      <c r="A84" s="253" t="str">
        <f>A3</f>
        <v>Drôme</v>
      </c>
      <c r="B84" s="187" t="str">
        <f>C3</f>
        <v>Drôme à Ponet St St Auban</v>
      </c>
      <c r="C84" s="260" t="str">
        <f>A4</f>
        <v>(Date)</v>
      </c>
      <c r="D84" s="261">
        <f>IF(OR(ISERROR(SUM($U$23:$U$82)/SUM($V$23:$V$82)),F7&lt;&gt;100),-1,SUM($U$23:$U$82)/SUM($V$23:$V$82))</f>
        <v>10.647058823529411</v>
      </c>
      <c r="E84" s="262">
        <f>O13</f>
        <v>8</v>
      </c>
      <c r="F84" s="187">
        <f>O14</f>
        <v>7</v>
      </c>
      <c r="G84" s="187">
        <f>O15</f>
        <v>3</v>
      </c>
      <c r="H84" s="187">
        <f>O16</f>
        <v>2</v>
      </c>
      <c r="I84" s="187">
        <f>O17</f>
        <v>2</v>
      </c>
      <c r="J84" s="263">
        <f>O8</f>
        <v>10.571428571428571</v>
      </c>
      <c r="K84" s="264">
        <f>O9</f>
        <v>5.178448274397674</v>
      </c>
      <c r="L84" s="265">
        <f>O10</f>
        <v>1</v>
      </c>
      <c r="M84" s="265">
        <f>O11</f>
        <v>18</v>
      </c>
      <c r="N84" s="264">
        <f>P8</f>
        <v>1.8571428571428572</v>
      </c>
      <c r="O84" s="264">
        <f>P9</f>
        <v>0.8329931278350429</v>
      </c>
      <c r="P84" s="265">
        <f>P10</f>
        <v>1</v>
      </c>
      <c r="Q84" s="265">
        <f>P11</f>
        <v>3</v>
      </c>
      <c r="R84" s="265">
        <f>F21</f>
        <v>1.114036</v>
      </c>
      <c r="S84" s="265">
        <f>L11</f>
        <v>0</v>
      </c>
      <c r="T84" s="265">
        <f>L12</f>
        <v>6</v>
      </c>
      <c r="U84" s="265">
        <f>L13</f>
        <v>1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89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90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91</v>
      </c>
      <c r="S88" s="5"/>
      <c r="T88" s="272">
        <f>VLOOKUP($T$91,($A$23:$U$82),21,FALSE)</f>
        <v>52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92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93</v>
      </c>
      <c r="S90" s="5" t="s">
        <v>10</v>
      </c>
      <c r="T90" s="273">
        <f>IF(OR(ISERROR(SUM($U$23:$U$82)/SUM($V$23:$V$82)),F7&lt;&gt;100),-1,(SUM($U$23:$U$82)-T88)/(SUM($V$23:$V$82)-T89))</f>
        <v>9.923076923076923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94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95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96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2016-02-29T17:50:17Z</dcterms:created>
  <dcterms:modified xsi:type="dcterms:W3CDTF">2016-02-29T17:50:19Z</dcterms:modified>
  <cp:category/>
  <cp:version/>
  <cp:contentType/>
  <cp:contentStatus/>
</cp:coreProperties>
</file>