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<sst xmlns="http://schemas.openxmlformats.org/spreadsheetml/2006/main" count="215" uniqueCount="101">
  <si>
    <t>Relevés floristiques aquatiques - IBMR</t>
  </si>
  <si>
    <t>modèle Irstea-GIS</t>
  </si>
  <si>
    <t>SAGE</t>
  </si>
  <si>
    <t>L. BOURGOIN C. BERNARD</t>
  </si>
  <si>
    <t>BERRE</t>
  </si>
  <si>
    <t>BERRE A VALAURIE</t>
  </si>
  <si>
    <t>06113270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</si>
  <si>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</si>
  <si>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</si>
  <si>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</si>
  <si>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</si>
  <si>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</si>
  <si>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</si>
  <si>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</si>
  <si>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</si>
  <si>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</si>
  <si>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</si>
  <si>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</si>
  <si>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pl. courant</t>
  </si>
  <si>
    <t>f. de dissipation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</si>
  <si>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</si>
  <si>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</si>
  <si>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</si>
  <si>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</si>
  <si>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</si>
  <si>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</si>
  <si>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</si>
  <si>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</si>
  <si>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</si>
  <si>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</si>
  <si>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</si>
  <si>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</si>
  <si>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</si>
  <si>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</si>
  <si>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</si>
  <si>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</si>
  <si>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</si>
  <si>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</si>
  <si>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</si>
  <si>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</si>
  <si>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</si>
  <si>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</si>
  <si>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</si>
  <si>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</si>
  <si>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</si>
  <si>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</si>
  <si>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</si>
  <si>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</si>
  <si>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</si>
  <si>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</si>
  <si>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</si>
  <si>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</si>
  <si>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</si>
  <si>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</si>
  <si>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</si>
  <si>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</si>
  <si>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</si>
  <si>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</si>
  <si>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</si>
  <si>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</si>
  <si>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</si>
  <si>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</si>
  <si>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</si>
  <si>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</si>
  <si>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</si>
  <si>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</si>
  <si>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</si>
  <si>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</si>
  <si>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</si>
  <si>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</si>
  <si>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</si>
  <si>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</si>
  <si>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</si>
  <si>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</si>
  <si>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</si>
  <si>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</si>
  <si>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</si>
  <si>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</si>
  <si>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</si>
  <si>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</si>
  <si>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</si>
  <si>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MICSPX</t>
  </si>
  <si>
    <t>NOSSPX</t>
  </si>
  <si>
    <t>VAUSPX</t>
  </si>
  <si>
    <t>CHIPOL</t>
  </si>
  <si>
    <t>PELEND</t>
  </si>
  <si>
    <t>HYATEN</t>
  </si>
  <si>
    <t>LEORIP</t>
  </si>
  <si>
    <t>RHYRIP</t>
  </si>
  <si>
    <t>EQUSPX</t>
  </si>
  <si>
    <t>AGRSTO</t>
  </si>
  <si>
    <t>PHRAUS</t>
  </si>
  <si>
    <t>VERANA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</si>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</sst>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EGRA_20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D20" sqref="AD20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10.703703703703704</v>
      </c>
      <c r="N5" s="50"/>
      <c r="O5" s="51" t="s">
        <v>16</v>
      </c>
      <c r="P5" s="52">
        <v>10.333333333333334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</v>
      </c>
      <c r="P8" s="85">
        <f>IF(ISERROR(AVERAGE(K23:K82)),"  ",AVERAGE(K23:K82))</f>
        <v>1.5833333333333333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9.14</v>
      </c>
      <c r="C9" s="88">
        <v>3.11</v>
      </c>
      <c r="D9" s="89"/>
      <c r="E9" s="89"/>
      <c r="F9" s="90">
        <f>($B9*$B$7+$C9*$C$7)/100</f>
        <v>8.537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3.4399612400917157</v>
      </c>
      <c r="P9" s="85">
        <f>IF(ISERROR(STDEVP(K23:K82)),"  ",STDEVP(K23:K82))</f>
        <v>0.4930066485916347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31</v>
      </c>
      <c r="L10" s="99"/>
      <c r="M10" s="100"/>
      <c r="N10" s="84" t="s">
        <v>32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33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34</v>
      </c>
      <c r="K11" s="109"/>
      <c r="L11" s="110">
        <f>COUNTIF($G$23:$G$82,"=HET")</f>
        <v>0</v>
      </c>
      <c r="M11" s="111"/>
      <c r="N11" s="84" t="s">
        <v>35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36</v>
      </c>
      <c r="B12" s="113">
        <v>8.01</v>
      </c>
      <c r="C12" s="114">
        <v>0.06</v>
      </c>
      <c r="D12" s="89"/>
      <c r="E12" s="89"/>
      <c r="F12" s="106">
        <f>($B12*$B$7+$C12*$C$7)/100</f>
        <v>7.215</v>
      </c>
      <c r="G12" s="107"/>
      <c r="H12" s="56"/>
      <c r="I12" s="5"/>
      <c r="J12" s="108" t="s">
        <v>37</v>
      </c>
      <c r="K12" s="109"/>
      <c r="L12" s="110">
        <f>COUNTIF($G$23:$G$82,"=ALG")</f>
        <v>4</v>
      </c>
      <c r="M12" s="111"/>
      <c r="N12" s="115"/>
      <c r="O12" s="116" t="s">
        <v>31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38</v>
      </c>
      <c r="B13" s="113">
        <v>1.11</v>
      </c>
      <c r="C13" s="114">
        <v>3.02</v>
      </c>
      <c r="D13" s="89"/>
      <c r="E13" s="89"/>
      <c r="F13" s="106">
        <f>($B13*$B$7+$C13*$C$7)/100</f>
        <v>1.301</v>
      </c>
      <c r="G13" s="107"/>
      <c r="H13" s="56"/>
      <c r="I13" s="5"/>
      <c r="J13" s="119" t="s">
        <v>39</v>
      </c>
      <c r="K13" s="109"/>
      <c r="L13" s="110">
        <f>COUNTIF($G$23:$G$82,"=BRm")+COUNTIF($G$23:$G$82,"=BRh")</f>
        <v>6</v>
      </c>
      <c r="M13" s="111"/>
      <c r="N13" s="120" t="s">
        <v>40</v>
      </c>
      <c r="O13" s="121">
        <f>COUNTIF(F23:F82,"&gt;0")</f>
        <v>14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41</v>
      </c>
      <c r="B14" s="113"/>
      <c r="C14" s="114">
        <v>0.01</v>
      </c>
      <c r="D14" s="89"/>
      <c r="E14" s="89"/>
      <c r="F14" s="106">
        <f>($B14*$B$7+$C14*$C$7)/100</f>
        <v>0.001</v>
      </c>
      <c r="G14" s="107"/>
      <c r="H14" s="56"/>
      <c r="I14" s="5"/>
      <c r="J14" s="119" t="s">
        <v>42</v>
      </c>
      <c r="K14" s="109"/>
      <c r="L14" s="110">
        <f>COUNTIF($G$23:$G$82,"=PTE")+COUNTIF($G$23:$G$82,"=LIC")</f>
        <v>1</v>
      </c>
      <c r="M14" s="111"/>
      <c r="N14" s="123" t="s">
        <v>43</v>
      </c>
      <c r="O14" s="124">
        <f>COUNTIF($J$23:$J$82,"&gt;-1")</f>
        <v>12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44</v>
      </c>
      <c r="B15" s="127">
        <v>0.02</v>
      </c>
      <c r="C15" s="128">
        <v>0.02</v>
      </c>
      <c r="D15" s="89"/>
      <c r="E15" s="89"/>
      <c r="F15" s="106">
        <f>($B15*$B$7+$C15*$C$7)/100</f>
        <v>0.02</v>
      </c>
      <c r="G15" s="107"/>
      <c r="H15" s="56"/>
      <c r="I15" s="5"/>
      <c r="J15" s="119" t="s">
        <v>45</v>
      </c>
      <c r="K15" s="109"/>
      <c r="L15" s="110">
        <f>(COUNTIF($G$23:$G$82,"=PHy"))+(COUNTIF($G$23:$G$82,"=PHe"))+(COUNTIF($G$23:$G$82,"=PHg"))+(COUNTIF($G$23:$G$82,"=PHx"))</f>
        <v>3</v>
      </c>
      <c r="M15" s="111"/>
      <c r="N15" s="120" t="s">
        <v>46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47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48</v>
      </c>
      <c r="O16" s="121">
        <f>COUNTIF(K23:K82,"=2")</f>
        <v>7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49</v>
      </c>
      <c r="B17" s="113">
        <v>9.03</v>
      </c>
      <c r="C17" s="114">
        <v>3.08</v>
      </c>
      <c r="D17" s="89"/>
      <c r="E17" s="89"/>
      <c r="F17" s="133"/>
      <c r="G17" s="134">
        <f>($B17*$B$7+$C17*$C$7)/100</f>
        <v>8.434999999999999</v>
      </c>
      <c r="H17" s="56"/>
      <c r="I17" s="5"/>
      <c r="J17" s="135"/>
      <c r="K17" s="136"/>
      <c r="L17" s="137" t="s">
        <v>50</v>
      </c>
      <c r="M17" s="138">
        <f>IF(ISERROR((O13-(COUNTIF(J23:J82,"nc")))/O13),"-",(O13-(COUNTIF(J23:J82,"nc")))/O13)</f>
        <v>0.8571428571428571</v>
      </c>
      <c r="N17" s="120" t="s">
        <v>51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52</v>
      </c>
      <c r="B18" s="142"/>
      <c r="C18" s="143"/>
      <c r="D18" s="89"/>
      <c r="E18" s="144" t="s">
        <v>53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54</v>
      </c>
      <c r="X18" s="9" t="s">
        <v>54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8.536999999999999</v>
      </c>
      <c r="G19" s="157">
        <f>SUM(G16:G18)</f>
        <v>8.434999999999999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54</v>
      </c>
      <c r="X19" s="9" t="s">
        <v>54</v>
      </c>
    </row>
    <row r="20" spans="1:23" ht="12.75">
      <c r="A20" s="165" t="s">
        <v>55</v>
      </c>
      <c r="B20" s="166">
        <f>SUM(B23:B62)</f>
        <v>9.139999999999999</v>
      </c>
      <c r="C20" s="167">
        <f>SUM(C23:C62)</f>
        <v>3.1099999999999994</v>
      </c>
      <c r="D20" s="168"/>
      <c r="E20" s="169" t="s">
        <v>53</v>
      </c>
      <c r="F20" s="170">
        <f>($B20*$B$7+$C20*$C$7)/100</f>
        <v>8.536999999999999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56</v>
      </c>
      <c r="B21" s="178">
        <f>B20*B7/100</f>
        <v>8.225999999999999</v>
      </c>
      <c r="C21" s="178">
        <f>C20*C7/100</f>
        <v>0.31099999999999994</v>
      </c>
      <c r="D21" s="179" t="s">
        <v>57</v>
      </c>
      <c r="E21" s="180"/>
      <c r="F21" s="181">
        <f>B21+C21</f>
        <v>8.536999999999999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58</v>
      </c>
    </row>
    <row r="22" spans="1:26" ht="12.75">
      <c r="A22" s="190" t="s">
        <v>59</v>
      </c>
      <c r="B22" s="191" t="s">
        <v>60</v>
      </c>
      <c r="C22" s="191" t="s">
        <v>60</v>
      </c>
      <c r="D22" s="192"/>
      <c r="E22" s="193"/>
      <c r="F22" s="194" t="s">
        <v>61</v>
      </c>
      <c r="G22" s="195" t="s">
        <v>62</v>
      </c>
      <c r="H22" s="89" t="s">
        <v>63</v>
      </c>
      <c r="I22" s="5" t="s">
        <v>64</v>
      </c>
      <c r="J22" s="196" t="s">
        <v>65</v>
      </c>
      <c r="K22" s="196" t="s">
        <v>66</v>
      </c>
      <c r="L22" s="197" t="s">
        <v>67</v>
      </c>
      <c r="M22" s="197"/>
      <c r="N22" s="197"/>
      <c r="O22" s="197"/>
      <c r="P22" s="189" t="s">
        <v>68</v>
      </c>
      <c r="Q22" s="198" t="s">
        <v>69</v>
      </c>
      <c r="R22" s="199" t="s">
        <v>70</v>
      </c>
      <c r="S22" s="200" t="s">
        <v>71</v>
      </c>
      <c r="T22" s="201" t="s">
        <v>72</v>
      </c>
      <c r="U22" s="201" t="s">
        <v>73</v>
      </c>
      <c r="V22" s="202" t="s">
        <v>74</v>
      </c>
      <c r="W22" s="203" t="s">
        <v>75</v>
      </c>
      <c r="X22" s="204" t="s">
        <v>76</v>
      </c>
      <c r="Y22" s="205" t="s">
        <v>77</v>
      </c>
      <c r="Z22" s="205" t="s">
        <v>78</v>
      </c>
    </row>
    <row r="23" spans="1:26" ht="12.75">
      <c r="A23" s="206" t="s">
        <v>79</v>
      </c>
      <c r="B23" s="207">
        <v>7.92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7.127999999999999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7.127999999999999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18</v>
      </c>
      <c r="U23" s="220">
        <f aca="true" t="shared" si="5" ref="U23:U82">IF(ISERROR(S23*J23*K23),0,S23*J23*K23)</f>
        <v>18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0.08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Microspora sp.</v>
      </c>
      <c r="E24" s="228" t="e">
        <f>IF(D24="",,VLOOKUP(D24,D$22:D23,1,0))</f>
        <v>#N/A</v>
      </c>
      <c r="F24" s="229">
        <f t="shared" si="0"/>
        <v>0.07200000000000001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Microspora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1132</v>
      </c>
      <c r="R24" s="219">
        <f t="shared" si="2"/>
        <v>0.07200000000000001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MICSPX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66</v>
      </c>
    </row>
    <row r="25" spans="1:26" ht="12.75">
      <c r="A25" s="224" t="s">
        <v>82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Nostoc sp.</v>
      </c>
      <c r="E25" s="228" t="e">
        <f>IF(D25="",,VLOOKUP(D25,D$22:D24,1,0))</f>
        <v>#N/A</v>
      </c>
      <c r="F25" s="229">
        <f t="shared" si="0"/>
        <v>0.001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9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Nostoc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1105</v>
      </c>
      <c r="R25" s="219">
        <f t="shared" si="2"/>
        <v>0.001</v>
      </c>
      <c r="S25" s="220">
        <f t="shared" si="3"/>
        <v>1</v>
      </c>
      <c r="T25" s="220">
        <f t="shared" si="4"/>
        <v>9</v>
      </c>
      <c r="U25" s="220">
        <f t="shared" si="5"/>
        <v>9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NOSSPX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84</v>
      </c>
    </row>
    <row r="26" spans="1:26" ht="12.75">
      <c r="A26" s="224" t="s">
        <v>83</v>
      </c>
      <c r="B26" s="225">
        <v>0.01</v>
      </c>
      <c r="C26" s="226">
        <v>0.05000000000000001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0.014000000000000002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0.014000000000000002</v>
      </c>
      <c r="S26" s="220">
        <f t="shared" si="3"/>
        <v>1</v>
      </c>
      <c r="T26" s="220">
        <f t="shared" si="4"/>
        <v>4</v>
      </c>
      <c r="U26" s="220">
        <f t="shared" si="5"/>
        <v>4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84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Chiloscyphus polyanthos</v>
      </c>
      <c r="E27" s="228" t="e">
        <f>IF(D27="",,VLOOKUP(D27,D$22:D26,1,0))</f>
        <v>#N/A</v>
      </c>
      <c r="F27" s="229">
        <f t="shared" si="0"/>
        <v>0.001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BRh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4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Chiloscyphus polyanthos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1186</v>
      </c>
      <c r="R27" s="219">
        <f t="shared" si="2"/>
        <v>0.001</v>
      </c>
      <c r="S27" s="220">
        <f t="shared" si="3"/>
        <v>1</v>
      </c>
      <c r="T27" s="220">
        <f t="shared" si="4"/>
        <v>15</v>
      </c>
      <c r="U27" s="220">
        <f t="shared" si="5"/>
        <v>30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CHIPOL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137</v>
      </c>
    </row>
    <row r="28" spans="1:26" ht="12.75">
      <c r="A28" s="224" t="s">
        <v>85</v>
      </c>
      <c r="B28" s="225">
        <v>0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Pellia endiviifolia</v>
      </c>
      <c r="E28" s="228" t="e">
        <f>IF(D28="",,VLOOKUP(D28,D$22:D27,1,0))</f>
        <v>#N/A</v>
      </c>
      <c r="F28" s="229">
        <f t="shared" si="0"/>
        <v>0.001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BRh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4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nc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nc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Pellia endiviifolia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1197</v>
      </c>
      <c r="R28" s="219">
        <f t="shared" si="2"/>
        <v>0.001</v>
      </c>
      <c r="S28" s="220">
        <f t="shared" si="3"/>
        <v>1</v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PELEND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167</v>
      </c>
    </row>
    <row r="29" spans="1:26" ht="12.75">
      <c r="A29" s="224" t="s">
        <v>16</v>
      </c>
      <c r="B29" s="225">
        <v>1</v>
      </c>
      <c r="C29" s="226">
        <v>2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Fissidens crassipes</v>
      </c>
      <c r="E29" s="228" t="e">
        <f>IF(D29="",,VLOOKUP(D29,D$22:D28,1,0))</f>
        <v>#N/A</v>
      </c>
      <c r="F29" s="229">
        <f t="shared" si="0"/>
        <v>1.1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12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Fissidens crassipes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1294</v>
      </c>
      <c r="R29" s="219">
        <f t="shared" si="2"/>
        <v>1.1</v>
      </c>
      <c r="S29" s="220">
        <f t="shared" si="3"/>
        <v>3</v>
      </c>
      <c r="T29" s="220">
        <f t="shared" si="4"/>
        <v>36</v>
      </c>
      <c r="U29" s="220">
        <f t="shared" si="5"/>
        <v>72</v>
      </c>
      <c r="V29" s="236">
        <f t="shared" si="6"/>
        <v>6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FISCRA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255</v>
      </c>
    </row>
    <row r="30" spans="1:26" ht="12.75">
      <c r="A30" s="224" t="s">
        <v>86</v>
      </c>
      <c r="B30" s="225">
        <v>0</v>
      </c>
      <c r="C30" s="226">
        <v>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Hygroamblystegium tenax</v>
      </c>
      <c r="E30" s="228" t="e">
        <f>IF(D30="",,VLOOKUP(D30,D$22:D29,1,0))</f>
        <v>#N/A</v>
      </c>
      <c r="F30" s="229">
        <f t="shared" si="0"/>
        <v>0.1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Hygroamblystegium tenax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31552</v>
      </c>
      <c r="R30" s="219">
        <f t="shared" si="2"/>
        <v>0.1</v>
      </c>
      <c r="S30" s="220">
        <f t="shared" si="3"/>
        <v>2</v>
      </c>
      <c r="T30" s="220">
        <f t="shared" si="4"/>
        <v>30</v>
      </c>
      <c r="U30" s="220">
        <f t="shared" si="5"/>
        <v>60</v>
      </c>
      <c r="V30" s="236">
        <f t="shared" si="6"/>
        <v>4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HYATEN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283</v>
      </c>
    </row>
    <row r="31" spans="1:26" ht="12.75">
      <c r="A31" s="224" t="s">
        <v>87</v>
      </c>
      <c r="B31" s="225">
        <v>0.01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Leptodictyum riparium </v>
      </c>
      <c r="E31" s="228" t="e">
        <f>IF(D31="",,VLOOKUP(D31,D$22:D30,1,0))</f>
        <v>#N/A</v>
      </c>
      <c r="F31" s="229">
        <f t="shared" si="0"/>
        <v>0.009000000000000001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5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Leptodictyum riparium </v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1244</v>
      </c>
      <c r="R31" s="219">
        <f t="shared" si="2"/>
        <v>0.009000000000000001</v>
      </c>
      <c r="S31" s="220">
        <f t="shared" si="3"/>
        <v>1</v>
      </c>
      <c r="T31" s="220">
        <f t="shared" si="4"/>
        <v>5</v>
      </c>
      <c r="U31" s="220">
        <f t="shared" si="5"/>
        <v>10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LEORIP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298</v>
      </c>
    </row>
    <row r="32" spans="1:26" ht="12.75">
      <c r="A32" s="224" t="s">
        <v>88</v>
      </c>
      <c r="B32" s="225">
        <v>0.1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Rhynchostegium riparioides</v>
      </c>
      <c r="E32" s="228" t="e">
        <f>IF(D32="",,VLOOKUP(D32,D$22:D31,1,0))</f>
        <v>#N/A</v>
      </c>
      <c r="F32" s="229">
        <f t="shared" si="0"/>
        <v>0.09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Rhynchostegium riparioides</v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31691</v>
      </c>
      <c r="R32" s="219">
        <f t="shared" si="2"/>
        <v>0.09</v>
      </c>
      <c r="S32" s="220">
        <f t="shared" si="3"/>
        <v>1</v>
      </c>
      <c r="T32" s="220">
        <f t="shared" si="4"/>
        <v>12</v>
      </c>
      <c r="U32" s="220">
        <f t="shared" si="5"/>
        <v>12</v>
      </c>
      <c r="V32" s="236">
        <f t="shared" si="6"/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RHYRIP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345</v>
      </c>
    </row>
    <row r="33" spans="1:26" ht="12.75">
      <c r="A33" s="224" t="s">
        <v>89</v>
      </c>
      <c r="B33" s="225">
        <v>0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Equisetum sp.</v>
      </c>
      <c r="E33" s="228" t="e">
        <f>IF(D33="",,VLOOKUP(D33,D$22:D32,1,0))</f>
        <v>#N/A</v>
      </c>
      <c r="F33" s="229">
        <f t="shared" si="0"/>
        <v>0.001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PTE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6</v>
      </c>
      <c r="I33" s="5">
        <f t="shared" si="1"/>
        <v>1</v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nc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nc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Equisetum sp.</v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1383</v>
      </c>
      <c r="R33" s="219">
        <f t="shared" si="2"/>
        <v>0.001</v>
      </c>
      <c r="S33" s="220">
        <f t="shared" si="3"/>
        <v>1</v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EQUSPX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391</v>
      </c>
    </row>
    <row r="34" spans="1:26" ht="12.75">
      <c r="A34" s="224" t="s">
        <v>90</v>
      </c>
      <c r="B34" s="225">
        <v>0.01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Agrostis stolonifera</v>
      </c>
      <c r="E34" s="228" t="e">
        <f>IF(D34="",,VLOOKUP(D34,D$22:D33,1,0))</f>
        <v>#N/A</v>
      </c>
      <c r="F34" s="229">
        <f t="shared" si="0"/>
        <v>0.01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PHe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8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10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Agrostis stolonifera</v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1543</v>
      </c>
      <c r="R34" s="219">
        <f t="shared" si="2"/>
        <v>0.010000000000000002</v>
      </c>
      <c r="S34" s="220">
        <f t="shared" si="3"/>
        <v>1</v>
      </c>
      <c r="T34" s="220">
        <f t="shared" si="4"/>
        <v>10</v>
      </c>
      <c r="U34" s="220">
        <f t="shared" si="5"/>
        <v>10</v>
      </c>
      <c r="V34" s="236">
        <f t="shared" si="6"/>
        <v>1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AGRSTO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623</v>
      </c>
    </row>
    <row r="35" spans="1:26" ht="12.75">
      <c r="A35" s="224" t="s">
        <v>91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Phragmites australis</v>
      </c>
      <c r="E35" s="228" t="e">
        <f>IF(D35="",,VLOOKUP(D35,D$22:D34,1,0))</f>
        <v>#N/A</v>
      </c>
      <c r="F35" s="229">
        <f t="shared" si="0"/>
        <v>0.001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PHe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8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9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Phragmites australis</v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1579</v>
      </c>
      <c r="R35" s="219">
        <f t="shared" si="2"/>
        <v>0.001</v>
      </c>
      <c r="S35" s="220">
        <f t="shared" si="3"/>
        <v>1</v>
      </c>
      <c r="T35" s="220">
        <f t="shared" si="4"/>
        <v>9</v>
      </c>
      <c r="U35" s="220">
        <f t="shared" si="5"/>
        <v>18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PHRAUS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709</v>
      </c>
    </row>
    <row r="36" spans="1:26" ht="12.75">
      <c r="A36" s="224" t="s">
        <v>92</v>
      </c>
      <c r="B36" s="225">
        <v>0.01</v>
      </c>
      <c r="C36" s="226">
        <v>0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Veronica anagallis-aquatica</v>
      </c>
      <c r="E36" s="228" t="e">
        <f>IF(D36="",,VLOOKUP(D36,D$22:D35,1,0))</f>
        <v>#N/A</v>
      </c>
      <c r="F36" s="229">
        <f t="shared" si="0"/>
        <v>0.009000000000000001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PHe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8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11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Veronica anagallis-aquatica</v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1955</v>
      </c>
      <c r="R36" s="219">
        <f t="shared" si="2"/>
        <v>0.009000000000000001</v>
      </c>
      <c r="S36" s="220">
        <f t="shared" si="3"/>
        <v>1</v>
      </c>
      <c r="T36" s="220">
        <f t="shared" si="4"/>
        <v>11</v>
      </c>
      <c r="U36" s="220">
        <f t="shared" si="5"/>
        <v>22</v>
      </c>
      <c r="V36" s="236">
        <f t="shared" si="6"/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VERANA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740</v>
      </c>
    </row>
    <row r="37" spans="1:26" ht="12.75">
      <c r="A37" s="224" t="s">
        <v>54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54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54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54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54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54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54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54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54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54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54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54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54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54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54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54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54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54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54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54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54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54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54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54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54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54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54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54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54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54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54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54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54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54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54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54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54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54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54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54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54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54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54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54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54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54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8.536999999999999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27</v>
      </c>
      <c r="W83" s="220"/>
      <c r="X83" s="258"/>
      <c r="Y83" s="258"/>
      <c r="Z83" s="259"/>
    </row>
    <row r="84" spans="1:26" ht="12.75" hidden="1">
      <c r="A84" s="253" t="str">
        <f>A3</f>
        <v>BERRE</v>
      </c>
      <c r="B84" s="187" t="str">
        <f>C3</f>
        <v>BERRE A VALAURIE</v>
      </c>
      <c r="C84" s="260" t="str">
        <f>A4</f>
        <v>(Date)</v>
      </c>
      <c r="D84" s="261">
        <f>IF(OR(ISERROR(SUM($U$23:$U$82)/SUM($V$23:$V$82)),F7&lt;&gt;100),-1,SUM($U$23:$U$82)/SUM($V$23:$V$82))</f>
        <v>10.703703703703704</v>
      </c>
      <c r="E84" s="262">
        <f>O13</f>
        <v>14</v>
      </c>
      <c r="F84" s="187">
        <f>O14</f>
        <v>12</v>
      </c>
      <c r="G84" s="187">
        <f>O15</f>
        <v>5</v>
      </c>
      <c r="H84" s="187">
        <f>O16</f>
        <v>7</v>
      </c>
      <c r="I84" s="187">
        <f>O17</f>
        <v>0</v>
      </c>
      <c r="J84" s="263">
        <f>O8</f>
        <v>10</v>
      </c>
      <c r="K84" s="264">
        <f>O9</f>
        <v>3.4399612400917157</v>
      </c>
      <c r="L84" s="265">
        <f>O10</f>
        <v>4</v>
      </c>
      <c r="M84" s="265">
        <f>O11</f>
        <v>15</v>
      </c>
      <c r="N84" s="264">
        <f>P8</f>
        <v>1.5833333333333333</v>
      </c>
      <c r="O84" s="264">
        <f>P9</f>
        <v>0.4930066485916347</v>
      </c>
      <c r="P84" s="265">
        <f>P10</f>
        <v>1</v>
      </c>
      <c r="Q84" s="265">
        <f>P11</f>
        <v>2</v>
      </c>
      <c r="R84" s="265">
        <f>F21</f>
        <v>8.536999999999999</v>
      </c>
      <c r="S84" s="265">
        <f>L11</f>
        <v>0</v>
      </c>
      <c r="T84" s="265">
        <f>L12</f>
        <v>4</v>
      </c>
      <c r="U84" s="265">
        <f>L13</f>
        <v>6</v>
      </c>
      <c r="V84" s="266">
        <f>L15</f>
        <v>3</v>
      </c>
      <c r="W84" s="267">
        <f>L15</f>
        <v>3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93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94</v>
      </c>
      <c r="S87" s="5"/>
      <c r="T87" s="272">
        <f>VLOOKUP($T$91,($A$23:$U$82),20,FALSE)</f>
        <v>36</v>
      </c>
      <c r="U87" s="5"/>
      <c r="V87" s="5"/>
    </row>
    <row r="88" spans="3:22" ht="12.75" hidden="1">
      <c r="C88" s="269"/>
      <c r="D88" s="269"/>
      <c r="E88" s="269"/>
      <c r="R88" s="5" t="s">
        <v>95</v>
      </c>
      <c r="S88" s="5"/>
      <c r="T88" s="272">
        <f>VLOOKUP($T$91,($A$23:$U$82),21,FALSE)</f>
        <v>72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96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97</v>
      </c>
      <c r="S90" s="5" t="s">
        <v>10</v>
      </c>
      <c r="T90" s="273">
        <f>IF(OR(ISERROR(SUM($U$23:$U$82)/SUM($V$23:$V$82)),F7&lt;&gt;100),-1,(SUM($U$23:$U$82)-T88)/(SUM($V$23:$V$82)-T89))</f>
        <v>10.333333333333334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98</v>
      </c>
      <c r="S91" s="220"/>
      <c r="T91" s="220" t="str">
        <f>INDEX('[1]liste reference'!$A$6:$A$1174,$U$91)</f>
        <v>FISCRA</v>
      </c>
      <c r="U91" s="5">
        <f>IF(ISERROR(MATCH($T$93,'[1]liste reference'!$A$6:$A$1174,0)),MATCH($T$93,'[1]liste reference'!$B$6:$B$1174,0),(MATCH($T$93,'[1]liste reference'!$A$6:$A$1174,0)))</f>
        <v>255</v>
      </c>
      <c r="V91" s="274"/>
    </row>
    <row r="92" spans="3:21" ht="12.75" hidden="1">
      <c r="C92" s="269"/>
      <c r="D92" s="269"/>
      <c r="E92" s="269"/>
      <c r="R92" s="5" t="s">
        <v>99</v>
      </c>
      <c r="S92" s="5"/>
      <c r="T92" s="5">
        <f>MATCH(T89,$V$23:$V$82,0)</f>
        <v>7</v>
      </c>
      <c r="U92" s="5"/>
    </row>
    <row r="93" spans="3:21" ht="12.75" hidden="1">
      <c r="C93" s="269"/>
      <c r="D93" s="269"/>
      <c r="E93" s="269"/>
      <c r="R93" s="220" t="s">
        <v>100</v>
      </c>
      <c r="S93" s="5"/>
      <c r="T93" s="220" t="str">
        <f>INDEX($A$23:$A$82,$T$92)</f>
        <v>FISCRA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2016-04-11T06:12:56Z</dcterms:created>
  <dcterms:modified xsi:type="dcterms:W3CDTF">2016-04-11T06:13:00Z</dcterms:modified>
  <cp:category/>
  <cp:version/>
  <cp:contentType/>
  <cp:contentStatus/>
</cp:coreProperties>
</file>