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<sst xmlns="http://schemas.openxmlformats.org/spreadsheetml/2006/main" count="218" uniqueCount="100">
  <si>
    <t>Relevés floristiques aquatiques - IBMR</t>
  </si>
  <si>
    <t xml:space="preserve">Formulaire modèle GIS Macrophytes v 3.1.1 - janvier 2013  </t>
  </si>
  <si>
    <t>SAGE</t>
  </si>
  <si>
    <t>LISEBE SRENAHY</t>
  </si>
  <si>
    <t>conforme AFNOR T90-395 oct. 2003</t>
  </si>
  <si>
    <t>LIGNON</t>
  </si>
  <si>
    <t>Lignon à La Souche</t>
  </si>
  <si>
    <t>06114155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</si>
  <si>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</si>
  <si>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</si>
  <si>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</si>
  <si>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</si>
  <si>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</si>
  <si>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</si>
  <si>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</si>
  <si>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</si>
  <si>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HYUSPX</t>
  </si>
  <si>
    <t>Faciès dominant</t>
  </si>
  <si>
    <t>rapide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</si>
  <si>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</si>
  <si>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</si>
  <si>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</si>
  <si>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</si>
  <si>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</si>
  <si>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</si>
  <si>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</si>
  <si>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</si>
  <si>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</si>
  <si>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</si>
  <si>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</si>
  <si>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</si>
  <si>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</si>
  <si>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</si>
  <si>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</si>
  <si>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</si>
  <si>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</si>
  <si>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</si>
  <si>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</si>
  <si>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</si>
  <si>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</si>
  <si>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</si>
  <si>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</si>
  <si>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</si>
  <si>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</si>
  <si>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</si>
  <si>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</si>
  <si>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</si>
  <si>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</si>
  <si>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</si>
  <si>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</si>
  <si>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</si>
  <si>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</si>
  <si>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</si>
  <si>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</si>
  <si>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</si>
  <si>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</si>
  <si>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</si>
  <si>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</si>
  <si>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</si>
  <si>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</si>
  <si>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</si>
  <si>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</si>
  <si>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</si>
  <si>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</si>
  <si>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</si>
  <si>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</si>
  <si>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</si>
  <si>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</si>
  <si>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</si>
  <si>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</si>
  <si>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</si>
  <si>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</si>
  <si>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</si>
  <si>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</si>
  <si>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</si>
  <si>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</si>
  <si>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</si>
  <si>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LEASPX</t>
  </si>
  <si>
    <t>OSCSPX</t>
  </si>
  <si>
    <t>PHOSPX</t>
  </si>
  <si>
    <t>SPISPX</t>
  </si>
  <si>
    <t>ULOSPX</t>
  </si>
  <si>
    <t>SCAUND</t>
  </si>
  <si>
    <t>FONANT</t>
  </si>
  <si>
    <t>HYGDUR</t>
  </si>
  <si>
    <t>RACACI</t>
  </si>
  <si>
    <t>RHYRIP</t>
  </si>
  <si>
    <t>EQUSPX</t>
  </si>
  <si>
    <t>newcod</t>
  </si>
  <si>
    <t>Microcoleus sp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</si>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</sst>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5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27" borderId="32" xfId="0" applyNumberFormat="1" applyFont="1" applyFill="1" applyBorder="1" applyAlignment="1" applyProtection="1">
      <alignment horizontal="right" vertical="top"/>
      <protection hidden="1"/>
    </xf>
    <xf numFmtId="2" fontId="31" fillId="27" borderId="33" xfId="0" applyNumberFormat="1" applyFont="1" applyFill="1" applyBorder="1" applyAlignment="1" applyProtection="1">
      <alignment horizontal="left" vertical="top"/>
      <protection hidden="1"/>
    </xf>
    <xf numFmtId="2" fontId="32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27" borderId="37" xfId="0" applyFont="1" applyFill="1" applyBorder="1" applyAlignment="1" applyProtection="1">
      <alignment horizontal="left"/>
      <protection hidden="1"/>
    </xf>
    <xf numFmtId="0" fontId="25" fillId="27" borderId="38" xfId="0" applyFont="1" applyFill="1" applyBorder="1" applyAlignment="1" applyProtection="1">
      <alignment horizontal="right" vertical="top"/>
      <protection hidden="1"/>
    </xf>
    <xf numFmtId="0" fontId="34" fillId="27" borderId="39" xfId="0" applyFont="1" applyFill="1" applyBorder="1" applyAlignment="1" applyProtection="1">
      <alignment horizontal="center" vertical="top"/>
      <protection hidden="1"/>
    </xf>
    <xf numFmtId="0" fontId="34" fillId="25" borderId="26" xfId="0" applyFont="1" applyFill="1" applyBorder="1" applyAlignment="1" applyProtection="1">
      <alignment horizontal="center" vertical="top"/>
      <protection hidden="1"/>
    </xf>
    <xf numFmtId="0" fontId="35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6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7" fillId="4" borderId="40" xfId="0" applyFont="1" applyFill="1" applyBorder="1" applyAlignment="1" applyProtection="1">
      <alignment horizontal="left" vertical="top"/>
      <protection hidden="1"/>
    </xf>
    <xf numFmtId="0" fontId="38" fillId="4" borderId="22" xfId="0" applyFont="1" applyFill="1" applyBorder="1" applyAlignment="1" applyProtection="1">
      <alignment horizontal="left" vertical="top"/>
      <protection hidden="1"/>
    </xf>
    <xf numFmtId="0" fontId="38" fillId="4" borderId="41" xfId="0" applyFont="1" applyFill="1" applyBorder="1" applyAlignment="1" applyProtection="1">
      <alignment horizontal="left" vertical="top"/>
      <protection hidden="1"/>
    </xf>
    <xf numFmtId="0" fontId="38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9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0" fillId="20" borderId="11" xfId="0" applyNumberFormat="1" applyFont="1" applyFill="1" applyBorder="1" applyAlignment="1" applyProtection="1">
      <alignment horizontal="right"/>
      <protection hidden="1"/>
    </xf>
    <xf numFmtId="177" fontId="40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1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39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7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8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3" fillId="17" borderId="3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22" xfId="0" applyFont="1" applyFill="1" applyBorder="1" applyAlignment="1" applyProtection="1">
      <alignment/>
      <protection hidden="1"/>
    </xf>
    <xf numFmtId="0" fontId="45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7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6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4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0" fontId="0" fillId="22" borderId="78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4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6" fillId="17" borderId="79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6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0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6" fillId="17" borderId="11" xfId="0" applyNumberFormat="1" applyFont="1" applyFill="1" applyBorder="1" applyAlignment="1" applyProtection="1">
      <alignment horizontal="center"/>
      <protection hidden="1"/>
    </xf>
    <xf numFmtId="0" fontId="0" fillId="20" borderId="82" xfId="0" applyFill="1" applyBorder="1" applyAlignment="1" applyProtection="1">
      <alignment/>
      <protection hidden="1"/>
    </xf>
    <xf numFmtId="0" fontId="0" fillId="20" borderId="82" xfId="0" applyFill="1" applyBorder="1" applyAlignment="1">
      <alignment/>
    </xf>
    <xf numFmtId="0" fontId="44" fillId="20" borderId="80" xfId="0" applyFont="1" applyFill="1" applyBorder="1" applyAlignment="1" applyProtection="1">
      <alignment horizontal="right"/>
      <protection hidden="1"/>
    </xf>
    <xf numFmtId="0" fontId="44" fillId="20" borderId="80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9525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LISOU_18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M42" sqref="M42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41443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14.84375</v>
      </c>
      <c r="M5" s="53"/>
      <c r="N5" s="54" t="s">
        <v>16</v>
      </c>
      <c r="O5" s="55">
        <v>14.576923076923077</v>
      </c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23</v>
      </c>
      <c r="B7" s="66">
        <v>90</v>
      </c>
      <c r="C7" s="67">
        <v>10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26</v>
      </c>
      <c r="B8" s="80"/>
      <c r="C8" s="80"/>
      <c r="D8" s="68"/>
      <c r="E8" s="68"/>
      <c r="F8" s="81" t="s">
        <v>27</v>
      </c>
      <c r="G8" s="82"/>
      <c r="H8" s="83"/>
      <c r="I8" s="71"/>
      <c r="J8" s="72"/>
      <c r="K8" s="73"/>
      <c r="L8" s="74"/>
      <c r="M8" s="84" t="s">
        <v>28</v>
      </c>
      <c r="N8" s="85">
        <f>IF(ISERROR(AVERAGE(I23:I82)),"     -",AVERAGE(I23:I82))</f>
        <v>13.727272727272727</v>
      </c>
      <c r="O8" s="85">
        <f>IF(ISERROR(AVERAGE(J23:J82)),"      -",AVERAGE(J23:J82))</f>
        <v>1.8181818181818181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29</v>
      </c>
      <c r="B9" s="87">
        <v>11</v>
      </c>
      <c r="C9" s="88">
        <v>2.03</v>
      </c>
      <c r="D9" s="89"/>
      <c r="E9" s="89"/>
      <c r="F9" s="90">
        <f>($B9*$B$7+$C9*$C$7)/100</f>
        <v>10.103</v>
      </c>
      <c r="G9" s="91"/>
      <c r="H9" s="92"/>
      <c r="I9" s="93"/>
      <c r="J9" s="94"/>
      <c r="K9" s="73"/>
      <c r="L9" s="95"/>
      <c r="M9" s="84" t="s">
        <v>30</v>
      </c>
      <c r="N9" s="85">
        <f>IF(ISERROR(STDEVP(I23:I82)),"     -",STDEVP(I23:I82))</f>
        <v>3.249920533039905</v>
      </c>
      <c r="O9" s="85">
        <f>IF(ISERROR(STDEVP(J23:J82)),"      -",STDEVP(J23:J82))</f>
        <v>0.8331955809010618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31</v>
      </c>
      <c r="B10" s="99"/>
      <c r="C10" s="100"/>
      <c r="D10" s="101"/>
      <c r="E10" s="101"/>
      <c r="F10" s="90"/>
      <c r="G10" s="91"/>
      <c r="H10" s="102"/>
      <c r="I10" s="103"/>
      <c r="J10" s="104" t="s">
        <v>32</v>
      </c>
      <c r="K10" s="104"/>
      <c r="L10" s="105"/>
      <c r="M10" s="106" t="s">
        <v>33</v>
      </c>
      <c r="N10" s="107">
        <f>MIN(I23:I82)</f>
        <v>10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34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35</v>
      </c>
      <c r="J11" s="116"/>
      <c r="K11" s="117">
        <f>COUNTIF($G$23:$G$82,"=HET")</f>
        <v>0</v>
      </c>
      <c r="L11" s="118"/>
      <c r="M11" s="106" t="s">
        <v>36</v>
      </c>
      <c r="N11" s="107">
        <f>MAX(I23:I82)</f>
        <v>19</v>
      </c>
      <c r="O11" s="107">
        <f>MAX(J23:J82)</f>
        <v>3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37</v>
      </c>
      <c r="B12" s="120">
        <v>10.5</v>
      </c>
      <c r="C12" s="121">
        <v>0.9</v>
      </c>
      <c r="D12" s="112"/>
      <c r="E12" s="112"/>
      <c r="F12" s="113">
        <f>($B12*$B$7+$C12*$C$7)/100</f>
        <v>9.54</v>
      </c>
      <c r="G12" s="122"/>
      <c r="H12" s="68"/>
      <c r="I12" s="123" t="s">
        <v>38</v>
      </c>
      <c r="J12" s="124"/>
      <c r="K12" s="117">
        <f>COUNTIF($G$23:$G$82,"=ALG")</f>
        <v>6</v>
      </c>
      <c r="L12" s="125"/>
      <c r="M12" s="126"/>
      <c r="N12" s="127" t="s">
        <v>32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39</v>
      </c>
      <c r="B13" s="120">
        <v>0.5</v>
      </c>
      <c r="C13" s="121">
        <v>1.12</v>
      </c>
      <c r="D13" s="112"/>
      <c r="E13" s="112"/>
      <c r="F13" s="113">
        <f>($B13*$B$7+$C13*$C$7)/100</f>
        <v>0.562</v>
      </c>
      <c r="G13" s="122"/>
      <c r="H13" s="68"/>
      <c r="I13" s="130" t="s">
        <v>40</v>
      </c>
      <c r="J13" s="124"/>
      <c r="K13" s="117">
        <f>COUNTIF($G$23:$G$82,"=BRm")+COUNTIF($G$23:$G$82,"=BRh")</f>
        <v>5</v>
      </c>
      <c r="L13" s="118"/>
      <c r="M13" s="131" t="s">
        <v>41</v>
      </c>
      <c r="N13" s="132">
        <f>COUNTIF(F23:F82,"&gt;0")</f>
        <v>13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42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43</v>
      </c>
      <c r="J14" s="124"/>
      <c r="K14" s="117">
        <f>COUNTIF($G$23:$G$82,"=PTE")+COUNTIF($G$23:$G$82,"=LIC")</f>
        <v>1</v>
      </c>
      <c r="L14" s="118"/>
      <c r="M14" s="135" t="s">
        <v>44</v>
      </c>
      <c r="N14" s="136">
        <f>COUNTIF($I$23:$I$82,"&gt;-1")</f>
        <v>11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45</v>
      </c>
      <c r="B15" s="139"/>
      <c r="C15" s="140">
        <v>0.01</v>
      </c>
      <c r="D15" s="112"/>
      <c r="E15" s="112"/>
      <c r="F15" s="113">
        <f>($B15*$B$7+$C15*$C$7)/100</f>
        <v>0.001</v>
      </c>
      <c r="G15" s="122"/>
      <c r="H15" s="68"/>
      <c r="I15" s="130" t="s">
        <v>46</v>
      </c>
      <c r="J15" s="124"/>
      <c r="K15" s="117">
        <f>(COUNTIF($G$23:$G$82,"=PHy"))+(COUNTIF($G$23:$G$82,"=PHe"))+(COUNTIF($G$23:$G$82,"=PHg"))+(COUNTIF($G$23:$G$82,"=PHx"))</f>
        <v>0</v>
      </c>
      <c r="L15" s="118"/>
      <c r="M15" s="141" t="s">
        <v>47</v>
      </c>
      <c r="N15" s="142">
        <f>COUNTIF(J23:J82,"=1")</f>
        <v>5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48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49</v>
      </c>
      <c r="N16" s="142">
        <f>COUNTIF(J23:J82,"=2")</f>
        <v>3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50</v>
      </c>
      <c r="B17" s="120">
        <v>11</v>
      </c>
      <c r="C17" s="121">
        <v>2.03</v>
      </c>
      <c r="D17" s="112"/>
      <c r="E17" s="112"/>
      <c r="F17" s="148"/>
      <c r="G17" s="113">
        <f>($B17*$B$7+$C17*$C$7)/100</f>
        <v>10.103</v>
      </c>
      <c r="H17" s="68"/>
      <c r="I17" s="130"/>
      <c r="J17" s="124"/>
      <c r="K17" s="147"/>
      <c r="L17" s="118"/>
      <c r="M17" s="141" t="s">
        <v>51</v>
      </c>
      <c r="N17" s="142">
        <f>COUNTIF(J23:J82,"=3")</f>
        <v>3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>
        <v>0.01</v>
      </c>
      <c r="D18" s="112"/>
      <c r="E18" s="152" t="s">
        <v>53</v>
      </c>
      <c r="F18" s="148"/>
      <c r="G18" s="113">
        <f>($B18*$B$7+$C18*$C$7)/100</f>
        <v>0.001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 t="str">
        <f>IF(G19=F19,"","ATTENTION : le total par grp. floristiques doit être égal")</f>
        <v>ATTENTION : le total par grp. floristiques doit être égal</v>
      </c>
      <c r="E19" s="160" t="str">
        <f>IF(G19=F19,"","au total par grp. Fonctionnels !")</f>
        <v>au total par grp. Fonctionnels !</v>
      </c>
      <c r="F19" s="161">
        <f>SUM(F11:F15)</f>
        <v>10.102999999999998</v>
      </c>
      <c r="G19" s="161">
        <f>SUM(G16:G18)</f>
        <v>10.104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99</v>
      </c>
      <c r="B20" s="170">
        <f>SUM(B23:B82)</f>
        <v>11.091999999999999</v>
      </c>
      <c r="C20" s="171">
        <f>SUM(C23:C82)</f>
        <v>2.0302499999999997</v>
      </c>
      <c r="D20" s="172"/>
      <c r="E20" s="173" t="s">
        <v>53</v>
      </c>
      <c r="F20" s="174">
        <f>($B20*$B$7+$C20*$C$7)/100</f>
        <v>10.185825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55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56</v>
      </c>
      <c r="B21" s="184">
        <f>B20*B7/100</f>
        <v>9.9828</v>
      </c>
      <c r="C21" s="184">
        <f>C20*C7/100</f>
        <v>0.20302499999999996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10.185825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57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58</v>
      </c>
      <c r="B22" s="195" t="s">
        <v>59</v>
      </c>
      <c r="C22" s="196" t="s">
        <v>59</v>
      </c>
      <c r="D22" s="144"/>
      <c r="E22" s="144"/>
      <c r="F22" s="197" t="s">
        <v>60</v>
      </c>
      <c r="G22" s="198" t="s">
        <v>61</v>
      </c>
      <c r="H22" s="144"/>
      <c r="I22" s="199" t="s">
        <v>62</v>
      </c>
      <c r="J22" s="199" t="s">
        <v>63</v>
      </c>
      <c r="K22" s="200" t="s">
        <v>64</v>
      </c>
      <c r="L22" s="200"/>
      <c r="M22" s="200"/>
      <c r="N22" s="200"/>
      <c r="O22" s="201"/>
      <c r="P22" s="202" t="s">
        <v>65</v>
      </c>
      <c r="Q22" s="203" t="s">
        <v>66</v>
      </c>
      <c r="R22" s="204" t="s">
        <v>67</v>
      </c>
      <c r="S22" s="205" t="s">
        <v>68</v>
      </c>
      <c r="T22" s="206" t="s">
        <v>69</v>
      </c>
      <c r="U22" s="207" t="s">
        <v>70</v>
      </c>
      <c r="V22" s="205" t="s">
        <v>71</v>
      </c>
      <c r="Y22" s="8" t="s">
        <v>72</v>
      </c>
      <c r="Z22" s="8" t="s">
        <v>73</v>
      </c>
      <c r="AA22" s="208" t="s">
        <v>74</v>
      </c>
      <c r="AB22" s="208" t="s">
        <v>75</v>
      </c>
      <c r="AC22" s="209" t="s">
        <v>76</v>
      </c>
    </row>
    <row r="23" spans="1:54" ht="12.75">
      <c r="A23" s="210" t="s">
        <v>16</v>
      </c>
      <c r="B23" s="211">
        <v>4.98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Hydrurus sp.</v>
      </c>
      <c r="E23" s="213" t="e">
        <f>IF(D23="",,VLOOKUP(D23,D$22:D22,1,0))</f>
        <v>#N/A</v>
      </c>
      <c r="F23" s="214">
        <f aca="true" t="shared" si="0" ref="F23:F54">($B23*$B$7+$C23*$C$7)/100</f>
        <v>4.482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Hydrurus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6183</v>
      </c>
      <c r="Q23" s="221">
        <f aca="true" t="shared" si="1" ref="Q23:Q54">IF(ISTEXT(H23),"",(B23*$B$7/100)+(C23*$C$7/100))</f>
        <v>4.482</v>
      </c>
      <c r="R23" s="222">
        <f aca="true" t="shared" si="2" ref="R23:R54">IF(OR(ISTEXT(H23),Q23=0),"",IF(Q23&lt;0.1,1,IF(Q23&lt;1,2,IF(Q23&lt;10,3,IF(Q23&lt;50,4,IF(Q23&gt;=50,5,""))))))</f>
        <v>3</v>
      </c>
      <c r="S23" s="222">
        <f aca="true" t="shared" si="3" ref="S23:S54">IF(ISERROR(R23*I23),0,R23*I23)</f>
        <v>48</v>
      </c>
      <c r="T23" s="222">
        <f aca="true" t="shared" si="4" ref="T23:T54">IF(ISERROR(R23*I23*J23),0,R23*I23*J23)</f>
        <v>96</v>
      </c>
      <c r="U23" s="222">
        <f aca="true" t="shared" si="5" ref="U23:U54">IF(ISERROR(R23*J23),0,R23*J23)</f>
        <v>6</v>
      </c>
      <c r="V23" s="223">
        <f aca="true" t="shared" si="6" ref="V23:V54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HYUSPX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33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77</v>
      </c>
      <c r="B24" s="229">
        <v>5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31" t="e">
        <f>IF(D24="",,VLOOKUP(D24,D$22:D23,1,0))</f>
        <v>#N/A</v>
      </c>
      <c r="F24" s="232">
        <f t="shared" si="0"/>
        <v>4.5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21">
        <f t="shared" si="1"/>
        <v>4.5</v>
      </c>
      <c r="R24" s="222">
        <f t="shared" si="2"/>
        <v>3</v>
      </c>
      <c r="S24" s="222">
        <f t="shared" si="3"/>
        <v>45</v>
      </c>
      <c r="T24" s="222">
        <f t="shared" si="4"/>
        <v>90</v>
      </c>
      <c r="U24" s="234">
        <f t="shared" si="5"/>
        <v>6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26"/>
      <c r="AB24" s="227"/>
      <c r="AC24" s="227"/>
      <c r="BB24" s="8">
        <f t="shared" si="7"/>
        <v>1</v>
      </c>
    </row>
    <row r="25" spans="1:54" ht="12.75">
      <c r="A25" s="228" t="s">
        <v>78</v>
      </c>
      <c r="B25" s="229">
        <v>0</v>
      </c>
      <c r="C25" s="230">
        <v>0.00025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Oscillatoria sp.</v>
      </c>
      <c r="E25" s="231" t="e">
        <f>IF(D25="",,VLOOKUP(D25,D$22:D24,1,0))</f>
        <v>#N/A</v>
      </c>
      <c r="F25" s="232">
        <f t="shared" si="0"/>
        <v>2.5E-05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11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Oscillatoria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1108</v>
      </c>
      <c r="Q25" s="221">
        <f t="shared" si="1"/>
        <v>2.5E-05</v>
      </c>
      <c r="R25" s="222">
        <f t="shared" si="2"/>
        <v>1</v>
      </c>
      <c r="S25" s="222">
        <f t="shared" si="3"/>
        <v>11</v>
      </c>
      <c r="T25" s="222">
        <f t="shared" si="4"/>
        <v>11</v>
      </c>
      <c r="U25" s="234">
        <f t="shared" si="5"/>
        <v>1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OSCSPX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56</v>
      </c>
      <c r="AA25" s="226"/>
      <c r="AB25" s="227"/>
      <c r="AC25" s="227"/>
      <c r="BB25" s="8">
        <f t="shared" si="7"/>
        <v>1</v>
      </c>
    </row>
    <row r="26" spans="1:54" ht="12.75">
      <c r="A26" s="228" t="s">
        <v>79</v>
      </c>
      <c r="B26" s="229">
        <v>0.251</v>
      </c>
      <c r="C26" s="230">
        <v>0.9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31" t="e">
        <f>IF(D26="",,VLOOKUP(D26,D$22:D25,1,0))</f>
        <v>#N/A</v>
      </c>
      <c r="F26" s="232">
        <f t="shared" si="0"/>
        <v>0.3159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21">
        <f t="shared" si="1"/>
        <v>0.31589999999999996</v>
      </c>
      <c r="R26" s="222">
        <f t="shared" si="2"/>
        <v>2</v>
      </c>
      <c r="S26" s="222">
        <f t="shared" si="3"/>
        <v>26</v>
      </c>
      <c r="T26" s="222">
        <f t="shared" si="4"/>
        <v>52</v>
      </c>
      <c r="U26" s="234">
        <f t="shared" si="5"/>
        <v>4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80</v>
      </c>
      <c r="B27" s="229">
        <v>0.05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Spirogyra sp.</v>
      </c>
      <c r="E27" s="231" t="e">
        <f>IF(D27="",,VLOOKUP(D27,D$22:D26,1,0))</f>
        <v>#N/A</v>
      </c>
      <c r="F27" s="232">
        <f t="shared" si="0"/>
        <v>0.045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Spirogyra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21">
        <f t="shared" si="1"/>
        <v>0.045</v>
      </c>
      <c r="R27" s="222">
        <f t="shared" si="2"/>
        <v>1</v>
      </c>
      <c r="S27" s="222">
        <f t="shared" si="3"/>
        <v>10</v>
      </c>
      <c r="T27" s="222">
        <f t="shared" si="4"/>
        <v>10</v>
      </c>
      <c r="U27" s="234">
        <f t="shared" si="5"/>
        <v>1</v>
      </c>
      <c r="V27" s="223">
        <f t="shared" si="6"/>
      </c>
      <c r="W27" s="235" t="s">
        <v>54</v>
      </c>
      <c r="Y27" s="225" t="str">
        <f>IF(A27="new.cod","NEWCOD",IF(AND((Z27=""),ISTEXT(A27)),A27,IF(Z27="","",INDEX('[1]liste reference'!$A$8:$A$904,Z27))))</f>
        <v>SPISPX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69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81</v>
      </c>
      <c r="B28" s="229">
        <v>0.27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Ulothrix sp.</v>
      </c>
      <c r="E28" s="231" t="e">
        <f>IF(D28="",,VLOOKUP(D28,D$22:D27,1,0))</f>
        <v>#N/A</v>
      </c>
      <c r="F28" s="232">
        <f t="shared" si="0"/>
        <v>0.243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Ulothrix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1142</v>
      </c>
      <c r="Q28" s="221">
        <f t="shared" si="1"/>
        <v>0.243</v>
      </c>
      <c r="R28" s="222">
        <f t="shared" si="2"/>
        <v>2</v>
      </c>
      <c r="S28" s="222">
        <f t="shared" si="3"/>
        <v>20</v>
      </c>
      <c r="T28" s="222">
        <f t="shared" si="4"/>
        <v>20</v>
      </c>
      <c r="U28" s="234">
        <f t="shared" si="5"/>
        <v>2</v>
      </c>
      <c r="V28" s="223">
        <f t="shared" si="6"/>
      </c>
      <c r="W28" s="224" t="s">
        <v>54</v>
      </c>
      <c r="Y28" s="225" t="str">
        <f>IF(A28="new.cod","NEWCOD",IF(AND((Z28=""),ISTEXT(A28)),A28,IF(Z28="","",INDEX('[1]liste reference'!$A$8:$A$904,Z28))))</f>
        <v>ULOSPX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81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82</v>
      </c>
      <c r="B29" s="229">
        <v>0.01</v>
      </c>
      <c r="C29" s="230">
        <v>0.01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Scapania undulata</v>
      </c>
      <c r="E29" s="231" t="e">
        <f>IF(D29="",,VLOOKUP(D29,D$22:D28,1,0))</f>
        <v>#N/A</v>
      </c>
      <c r="F29" s="232">
        <f t="shared" si="0"/>
        <v>0.01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BRh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4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17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Scapania undulata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1213</v>
      </c>
      <c r="Q29" s="221">
        <f t="shared" si="1"/>
        <v>0.010000000000000002</v>
      </c>
      <c r="R29" s="222">
        <f t="shared" si="2"/>
        <v>1</v>
      </c>
      <c r="S29" s="222">
        <f t="shared" si="3"/>
        <v>17</v>
      </c>
      <c r="T29" s="222">
        <f t="shared" si="4"/>
        <v>51</v>
      </c>
      <c r="U29" s="234">
        <f t="shared" si="5"/>
        <v>3</v>
      </c>
      <c r="V29" s="223">
        <f t="shared" si="6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SCAUND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144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83</v>
      </c>
      <c r="B30" s="229">
        <v>0.01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Fontinalis antipyretica</v>
      </c>
      <c r="E30" s="231" t="e">
        <f>IF(D30="",,VLOOKUP(D30,D$22:D29,1,0))</f>
        <v>#N/A</v>
      </c>
      <c r="F30" s="232">
        <f t="shared" si="0"/>
        <v>0.009000000000000001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Fontinalis antipyretica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1310</v>
      </c>
      <c r="Q30" s="221">
        <f t="shared" si="1"/>
        <v>0.009000000000000001</v>
      </c>
      <c r="R30" s="222">
        <f t="shared" si="2"/>
        <v>1</v>
      </c>
      <c r="S30" s="222">
        <f t="shared" si="3"/>
        <v>10</v>
      </c>
      <c r="T30" s="222">
        <f t="shared" si="4"/>
        <v>10</v>
      </c>
      <c r="U30" s="234">
        <f t="shared" si="5"/>
        <v>1</v>
      </c>
      <c r="V30" s="223">
        <f t="shared" si="6"/>
      </c>
      <c r="W30" s="224" t="s">
        <v>54</v>
      </c>
      <c r="Y30" s="225" t="str">
        <f>IF(A30="new.cod","NEWCOD",IF(AND((Z30=""),ISTEXT(A30)),A30,IF(Z30="","",INDEX('[1]liste reference'!$A$8:$A$904,Z30))))</f>
        <v>FONANT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210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84</v>
      </c>
      <c r="B31" s="229">
        <v>0.01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Hygrohypnum duriusculum</v>
      </c>
      <c r="E31" s="231" t="e">
        <f>IF(D31="",,VLOOKUP(D31,D$22:D30,1,0))</f>
        <v>#N/A</v>
      </c>
      <c r="F31" s="232">
        <f t="shared" si="0"/>
        <v>0.009000000000000001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19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3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Hygrohypnum duriusculum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9821</v>
      </c>
      <c r="Q31" s="221">
        <f t="shared" si="1"/>
        <v>0.009000000000000001</v>
      </c>
      <c r="R31" s="222">
        <f t="shared" si="2"/>
        <v>1</v>
      </c>
      <c r="S31" s="222">
        <f t="shared" si="3"/>
        <v>19</v>
      </c>
      <c r="T31" s="222">
        <f t="shared" si="4"/>
        <v>57</v>
      </c>
      <c r="U31" s="234">
        <f t="shared" si="5"/>
        <v>3</v>
      </c>
      <c r="V31" s="223">
        <f t="shared" si="6"/>
      </c>
      <c r="W31" s="224" t="s">
        <v>54</v>
      </c>
      <c r="Y31" s="225" t="str">
        <f>IF(A31="new.cod","NEWCOD",IF(AND((Z31=""),ISTEXT(A31)),A31,IF(Z31="","",INDEX('[1]liste reference'!$A$8:$A$904,Z31))))</f>
        <v>HYGDUR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218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85</v>
      </c>
      <c r="B32" s="229">
        <v>0.01</v>
      </c>
      <c r="C32" s="230">
        <v>0.01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Racomitrium aciculare</v>
      </c>
      <c r="E32" s="231" t="e">
        <f>IF(D32="",,VLOOKUP(D32,D$22:D31,1,0))</f>
        <v>#N/A</v>
      </c>
      <c r="F32" s="232">
        <f t="shared" si="0"/>
        <v>0.01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18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3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Racomitrium aciculare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1323</v>
      </c>
      <c r="Q32" s="221">
        <f t="shared" si="1"/>
        <v>0.010000000000000002</v>
      </c>
      <c r="R32" s="222">
        <f t="shared" si="2"/>
        <v>1</v>
      </c>
      <c r="S32" s="222">
        <f t="shared" si="3"/>
        <v>18</v>
      </c>
      <c r="T32" s="222">
        <f t="shared" si="4"/>
        <v>54</v>
      </c>
      <c r="U32" s="234">
        <f t="shared" si="5"/>
        <v>3</v>
      </c>
      <c r="V32" s="223">
        <f t="shared" si="6"/>
      </c>
      <c r="W32" s="224" t="s">
        <v>54</v>
      </c>
      <c r="Y32" s="225" t="str">
        <f>IF(A32="new.cod","NEWCOD",IF(AND((Z32=""),ISTEXT(A32)),A32,IF(Z32="","",INDEX('[1]liste reference'!$A$8:$A$904,Z32))))</f>
        <v>RACACI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244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86</v>
      </c>
      <c r="B33" s="229">
        <v>0.5</v>
      </c>
      <c r="C33" s="230">
        <v>1.1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Rhynchostegium riparioides</v>
      </c>
      <c r="E33" s="231" t="e">
        <f>IF(D33="",,VLOOKUP(D33,D$22:D32,1,0))</f>
        <v>#N/A</v>
      </c>
      <c r="F33" s="232">
        <f t="shared" si="0"/>
        <v>0.56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Rhynchostegium riparioides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1268</v>
      </c>
      <c r="Q33" s="221">
        <f t="shared" si="1"/>
        <v>0.56</v>
      </c>
      <c r="R33" s="222">
        <f t="shared" si="2"/>
        <v>2</v>
      </c>
      <c r="S33" s="222">
        <f t="shared" si="3"/>
        <v>24</v>
      </c>
      <c r="T33" s="222">
        <f t="shared" si="4"/>
        <v>24</v>
      </c>
      <c r="U33" s="234">
        <f t="shared" si="5"/>
        <v>2</v>
      </c>
      <c r="V33" s="223">
        <f t="shared" si="6"/>
      </c>
      <c r="W33" s="224" t="s">
        <v>54</v>
      </c>
      <c r="Y33" s="225" t="str">
        <f>IF(A33="new.cod","NEWCOD",IF(AND((Z33=""),ISTEXT(A33)),A33,IF(Z33="","",INDEX('[1]liste reference'!$A$8:$A$904,Z33))))</f>
        <v>RHYRIP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252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87</v>
      </c>
      <c r="B34" s="229">
        <v>0</v>
      </c>
      <c r="C34" s="230">
        <v>0.01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Equisetum sp.</v>
      </c>
      <c r="E34" s="231" t="e">
        <f>IF(D34="",,VLOOKUP(D34,D$22:D33,1,0))</f>
        <v>#N/A</v>
      </c>
      <c r="F34" s="236">
        <f t="shared" si="0"/>
        <v>0.001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PTE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6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Equisetum sp.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1383</v>
      </c>
      <c r="Q34" s="221">
        <f t="shared" si="1"/>
        <v>0.001</v>
      </c>
      <c r="R34" s="222">
        <f t="shared" si="2"/>
        <v>1</v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 t="str">
        <f>IF(A34="new.cod","NEWCOD",IF(AND((Z34=""),ISTEXT(A34)),A34,IF(Z34="","",INDEX('[1]liste reference'!$A$8:$A$904,Z34))))</f>
        <v>EQUSPX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283</v>
      </c>
      <c r="AA34" s="226"/>
      <c r="AB34" s="227"/>
      <c r="AC34" s="227"/>
      <c r="BB34" s="8">
        <f t="shared" si="7"/>
        <v>1</v>
      </c>
    </row>
    <row r="35" spans="1:54" ht="12.75">
      <c r="A35" s="228" t="s">
        <v>88</v>
      </c>
      <c r="B35" s="229">
        <v>0.001</v>
      </c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0.0009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    -</v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Microcoleus sp</v>
      </c>
      <c r="L35" s="233"/>
      <c r="M35" s="233"/>
      <c r="N35" s="233"/>
      <c r="O35" s="220"/>
      <c r="P35" s="220" t="str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No</v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 t="str">
        <f>IF(A35="new.cod","NEWCOD",IF(AND((Z35=""),ISTEXT(A35)),A35,IF(Z35="","",INDEX('[1]liste reference'!$A$8:$A$904,Z35))))</f>
        <v>newcod</v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 t="s">
        <v>89</v>
      </c>
      <c r="AC35" s="227"/>
      <c r="BB35" s="8">
        <f t="shared" si="7"/>
        <v>1</v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8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8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8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8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8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8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8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8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8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8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8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8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8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8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8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8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8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8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8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8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59" t="s">
        <v>90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LIGNON</v>
      </c>
      <c r="B84" s="265" t="str">
        <f>C3</f>
        <v>Lignon à La Souche</v>
      </c>
      <c r="C84" s="266">
        <f>A4</f>
        <v>41443</v>
      </c>
      <c r="D84" s="267">
        <f>IF(ISERROR(SUM($T$23:$T$82)/SUM($U$23:$U$82)),"",SUM($T$23:$T$82)/SUM($U$23:$U$82))</f>
        <v>14.84375</v>
      </c>
      <c r="E84" s="268">
        <f>N13</f>
        <v>13</v>
      </c>
      <c r="F84" s="265">
        <f>N14</f>
        <v>11</v>
      </c>
      <c r="G84" s="265">
        <f>N15</f>
        <v>5</v>
      </c>
      <c r="H84" s="265">
        <f>N16</f>
        <v>3</v>
      </c>
      <c r="I84" s="265">
        <f>N17</f>
        <v>3</v>
      </c>
      <c r="J84" s="269">
        <f>N8</f>
        <v>13.727272727272727</v>
      </c>
      <c r="K84" s="267">
        <f>N9</f>
        <v>3.249920533039905</v>
      </c>
      <c r="L84" s="268">
        <f>N10</f>
        <v>10</v>
      </c>
      <c r="M84" s="268">
        <f>N11</f>
        <v>19</v>
      </c>
      <c r="N84" s="267">
        <f>O8</f>
        <v>1.8181818181818181</v>
      </c>
      <c r="O84" s="267">
        <f>O9</f>
        <v>0.8331955809010618</v>
      </c>
      <c r="P84" s="268">
        <f>O10</f>
        <v>1</v>
      </c>
      <c r="Q84" s="268">
        <f>O11</f>
        <v>3</v>
      </c>
      <c r="R84" s="268">
        <f>F21</f>
        <v>10.185825</v>
      </c>
      <c r="S84" s="268">
        <f>K11</f>
        <v>0</v>
      </c>
      <c r="T84" s="268">
        <f>K12</f>
        <v>6</v>
      </c>
      <c r="U84" s="268">
        <f>K13</f>
        <v>5</v>
      </c>
      <c r="V84" s="270">
        <f>K14</f>
        <v>1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91</v>
      </c>
      <c r="R86" s="8"/>
      <c r="S86" s="223"/>
      <c r="T86" s="8"/>
      <c r="U86" s="8"/>
      <c r="V86" s="8"/>
    </row>
    <row r="87" spans="16:22" ht="12.75" hidden="1">
      <c r="P87" s="8"/>
      <c r="Q87" s="8" t="s">
        <v>92</v>
      </c>
      <c r="R87" s="8"/>
      <c r="S87" s="22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93</v>
      </c>
      <c r="R88" s="8"/>
      <c r="S88" s="223">
        <f>VLOOKUP((S87),($S$23:$U$82),2,0)</f>
        <v>96</v>
      </c>
      <c r="T88" s="8"/>
      <c r="U88" s="8"/>
      <c r="V88" s="8"/>
    </row>
    <row r="89" spans="17:20" ht="12.75" hidden="1">
      <c r="Q89" s="8" t="s">
        <v>94</v>
      </c>
      <c r="R89" s="8"/>
      <c r="S89" s="223">
        <f>VLOOKUP((S87),($S$23:$U$82),3,0)</f>
        <v>6</v>
      </c>
      <c r="T89" s="8"/>
    </row>
    <row r="90" spans="17:20" ht="12.75">
      <c r="Q90" s="8" t="s">
        <v>95</v>
      </c>
      <c r="R90" s="8"/>
      <c r="S90" s="274">
        <f>IF(ISERROR(SUM($T$23:$T$82)/SUM($U$23:$U$82)),"",(SUM($T$23:$T$82)-S88)/(SUM($U$23:$U$82)-S89))</f>
        <v>14.576923076923077</v>
      </c>
      <c r="T90" s="8"/>
    </row>
    <row r="91" spans="17:21" ht="12.75">
      <c r="Q91" s="222" t="s">
        <v>96</v>
      </c>
      <c r="R91" s="222"/>
      <c r="S91" s="222" t="str">
        <f>INDEX('[1]liste reference'!$A$8:$A$904,$T$91)</f>
        <v>HYUSPX</v>
      </c>
      <c r="T91" s="8">
        <f>IF(ISERROR(MATCH($S$93,'[1]liste reference'!$A$8:$A$904,0)),MATCH($S$93,'[1]liste reference'!$B$8:$B$904,0),(MATCH($S$93,'[1]liste reference'!$A$8:$A$904,0)))</f>
        <v>33</v>
      </c>
      <c r="U91" s="263"/>
    </row>
    <row r="92" spans="17:20" ht="12.75">
      <c r="Q92" s="8" t="s">
        <v>97</v>
      </c>
      <c r="R92" s="8"/>
      <c r="S92" s="8">
        <f>MATCH(S87,$S$23:$S$82,0)</f>
        <v>1</v>
      </c>
      <c r="T92" s="8"/>
    </row>
    <row r="93" spans="17:20" ht="12.75">
      <c r="Q93" s="222" t="s">
        <v>98</v>
      </c>
      <c r="R93" s="8"/>
      <c r="S93" s="222" t="str">
        <f>INDEX($A$23:$A$82,$S$92)</f>
        <v>HYUSPX</v>
      </c>
      <c r="T93" s="8"/>
    </row>
    <row r="94" ht="12.75">
      <c r="S94" s="263"/>
    </row>
  </sheetData>
  <sheetProtection password="C39F" sheet="1" objects="1" scenarios="1"/>
  <mergeCells count="11">
    <mergeCell ref="A8:C8"/>
    <mergeCell ref="I11:J11"/>
    <mergeCell ref="I12:J12"/>
    <mergeCell ref="I13:J13"/>
    <mergeCell ref="K22:O22"/>
    <mergeCell ref="Y83:Z83"/>
    <mergeCell ref="N6:O6"/>
    <mergeCell ref="I14:J14"/>
    <mergeCell ref="I15:J15"/>
    <mergeCell ref="I17:J17"/>
    <mergeCell ref="I18:J18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2013-12-12T13:22:44Z</dcterms:created>
  <dcterms:modified xsi:type="dcterms:W3CDTF">2013-12-12T13:22:46Z</dcterms:modified>
  <cp:category/>
  <cp:version/>
  <cp:contentType/>
  <cp:contentStatus/>
</cp:coreProperties>
</file>