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<sst xmlns="http://schemas.openxmlformats.org/spreadsheetml/2006/main" count="219" uniqueCount="98">
  <si>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</si>
  <si>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</si>
  <si>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</si>
  <si>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</si>
  <si>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</si>
  <si>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Volane</t>
  </si>
  <si>
    <t>VOLANE A VALS LES BAINS</t>
  </si>
  <si>
    <t>06114295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</si>
  <si>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</si>
  <si>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</si>
  <si>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</si>
  <si>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</si>
  <si>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</si>
  <si>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</si>
  <si>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</si>
  <si>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</si>
  <si>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</si>
  <si>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</si>
  <si>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</si>
  <si>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</si>
  <si>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</si>
  <si>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</si>
  <si>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</si>
  <si>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</si>
  <si>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</si>
  <si>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</si>
  <si>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</si>
  <si>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</si>
  <si>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</si>
  <si>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</si>
  <si>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</si>
  <si>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</si>
  <si>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</si>
  <si>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</si>
  <si>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</si>
  <si>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</si>
  <si>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</si>
  <si>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</si>
  <si>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</si>
  <si>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</si>
  <si>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</si>
  <si>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</si>
  <si>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</si>
  <si>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</si>
  <si>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</si>
  <si>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</si>
  <si>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</si>
  <si>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</si>
  <si>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</si>
  <si>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</si>
  <si>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</si>
  <si>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</si>
  <si>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</si>
  <si>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</si>
  <si>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</si>
  <si>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</si>
  <si>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</si>
  <si>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</si>
  <si>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</si>
  <si>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</si>
  <si>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</si>
  <si>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</si>
  <si>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</si>
  <si>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</si>
  <si>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</si>
  <si>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</si>
  <si>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</si>
  <si>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</si>
  <si>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</si>
  <si>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</si>
  <si>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</si>
  <si>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</si>
  <si>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</si>
  <si>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</si>
  <si>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</si>
  <si>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</si>
  <si>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</si>
  <si>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</si>
  <si>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</si>
  <si>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MELSPX</t>
  </si>
  <si>
    <t>PHOSPX</t>
  </si>
  <si>
    <t>SPISPX</t>
  </si>
  <si>
    <t>TETSPX</t>
  </si>
  <si>
    <t>ULOSPX</t>
  </si>
  <si>
    <t>AMBFLU</t>
  </si>
  <si>
    <t>FONSQU</t>
  </si>
  <si>
    <t>RHYRIP</t>
  </si>
  <si>
    <t>LYSVUL</t>
  </si>
  <si>
    <t>PHAARU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</si>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</sst>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39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0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3" borderId="47" xfId="0" applyNumberFormat="1" applyFont="1" applyFill="1" applyBorder="1" applyAlignment="1" applyProtection="1">
      <alignment horizontal="center"/>
      <protection locked="0"/>
    </xf>
    <xf numFmtId="2" fontId="0" fillId="43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3" borderId="51" xfId="0" applyNumberFormat="1" applyFont="1" applyFill="1" applyBorder="1" applyAlignment="1" applyProtection="1">
      <alignment horizontal="center"/>
      <protection locked="0"/>
    </xf>
    <xf numFmtId="2" fontId="0" fillId="43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3" borderId="57" xfId="0" applyNumberFormat="1" applyFont="1" applyFill="1" applyBorder="1" applyAlignment="1" applyProtection="1">
      <alignment horizontal="center"/>
      <protection locked="0"/>
    </xf>
    <xf numFmtId="2" fontId="0" fillId="43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2" fontId="0" fillId="43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7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8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7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7" fillId="38" borderId="76" xfId="0" applyFont="1" applyFill="1" applyBorder="1" applyAlignment="1" applyProtection="1">
      <alignment horizontal="right"/>
      <protection hidden="1"/>
    </xf>
    <xf numFmtId="0" fontId="27" fillId="38" borderId="76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2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VOLVA_18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35" sqref="A3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12.416666666666666</v>
      </c>
      <c r="M5" s="52"/>
      <c r="N5" s="53" t="s">
        <v>16</v>
      </c>
      <c r="O5" s="54">
        <v>11.9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95</v>
      </c>
      <c r="C7" s="65">
        <v>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11.9</v>
      </c>
      <c r="O8" s="81">
        <f>IF(ISERROR(AVERAGE(J23:J82)),"      -",AVERAGE(J23:J82))</f>
        <v>1.5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2.34</v>
      </c>
      <c r="C9" s="84">
        <v>30.13</v>
      </c>
      <c r="D9" s="85"/>
      <c r="E9" s="85"/>
      <c r="F9" s="86">
        <f aca="true" t="shared" si="0" ref="F9:F15">($B9*$B$7+$C9*$C$7)/100</f>
        <v>3.7295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2.071231517720798</v>
      </c>
      <c r="O9" s="81">
        <f>IF(ISERROR(STDEVP(J23:J82)),"      -",STDEVP(J23:J82))</f>
        <v>0.6708203932499369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10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16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1.51</v>
      </c>
      <c r="C12" s="115">
        <v>30.01</v>
      </c>
      <c r="D12" s="108"/>
      <c r="E12" s="108"/>
      <c r="F12" s="109">
        <f t="shared" si="0"/>
        <v>2.935</v>
      </c>
      <c r="G12" s="116"/>
      <c r="H12" s="66"/>
      <c r="I12" s="274" t="s">
        <v>39</v>
      </c>
      <c r="J12" s="265"/>
      <c r="K12" s="111">
        <f>COUNTIF($G$23:$G$82,"=ALG")</f>
        <v>6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0.83</v>
      </c>
      <c r="C13" s="115">
        <v>0.1</v>
      </c>
      <c r="D13" s="108"/>
      <c r="E13" s="108"/>
      <c r="F13" s="109">
        <f t="shared" si="0"/>
        <v>0.7935</v>
      </c>
      <c r="G13" s="116"/>
      <c r="H13" s="66"/>
      <c r="I13" s="264" t="s">
        <v>41</v>
      </c>
      <c r="J13" s="265"/>
      <c r="K13" s="111">
        <f>COUNTIF($G$23:$G$82,"=BRm")+COUNTIF($G$23:$G$82,"=BRh")</f>
        <v>3</v>
      </c>
      <c r="L13" s="112"/>
      <c r="M13" s="122" t="s">
        <v>42</v>
      </c>
      <c r="N13" s="123">
        <f>COUNTIF(F23:F82,"&gt;0")</f>
        <v>11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10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>
        <v>0.02</v>
      </c>
      <c r="D15" s="108"/>
      <c r="E15" s="108"/>
      <c r="F15" s="109">
        <f t="shared" si="0"/>
        <v>0.001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2</v>
      </c>
      <c r="L15" s="112"/>
      <c r="M15" s="132" t="s">
        <v>48</v>
      </c>
      <c r="N15" s="133">
        <f>COUNTIF(J23:J82,"=1")</f>
        <v>6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3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2.34</v>
      </c>
      <c r="C17" s="115">
        <v>30.11</v>
      </c>
      <c r="D17" s="108"/>
      <c r="E17" s="108"/>
      <c r="F17" s="139"/>
      <c r="G17" s="109">
        <f>($B17*$B$7+$C17*$C$7)/100</f>
        <v>3.7285000000000004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1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>
        <v>0.02</v>
      </c>
      <c r="D18" s="108"/>
      <c r="E18" s="144" t="s">
        <v>54</v>
      </c>
      <c r="F18" s="139"/>
      <c r="G18" s="109">
        <f>($B18*$B$7+$C18*$C$7)/100</f>
        <v>0.001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3.7295</v>
      </c>
      <c r="G19" s="153">
        <f>SUM(G16:G18)</f>
        <v>3.7295000000000003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2.3400000000000003</v>
      </c>
      <c r="C20" s="163">
        <f>SUM(C23:C82)</f>
        <v>30.130000000000006</v>
      </c>
      <c r="D20" s="164"/>
      <c r="E20" s="165" t="s">
        <v>54</v>
      </c>
      <c r="F20" s="166">
        <f>($B20*$B$7+$C20*$C$7)/100</f>
        <v>3.7295000000000003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2.2230000000000003</v>
      </c>
      <c r="C21" s="176">
        <f>C20*C7/100</f>
        <v>1.5065000000000004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3.7295000000000007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16</v>
      </c>
      <c r="B23" s="201">
        <v>0.5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Lemanea sp.</v>
      </c>
      <c r="E23" s="203" t="e">
        <f>IF(D23="",,VLOOKUP(D23,D$22:D22,1,0))</f>
        <v>#N/A</v>
      </c>
      <c r="F23" s="204">
        <f aca="true" t="shared" si="1" ref="F23:F82">($B23*$B$7+$C23*$C$7)/100</f>
        <v>0.475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Lemanea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1159</v>
      </c>
      <c r="Q23" s="211">
        <f aca="true" t="shared" si="2" ref="Q23:Q82">IF(ISTEXT(H23),"",(B23*$B$7/100)+(C23*$C$7/100))</f>
        <v>0.475</v>
      </c>
      <c r="R23" s="212">
        <f aca="true" t="shared" si="3" ref="R23:R82">IF(OR(ISTEXT(H23),Q23=0),"",IF(Q23&lt;0.1,1,IF(Q23&lt;1,2,IF(Q23&lt;10,3,IF(Q23&lt;50,4,IF(Q23&gt;=50,5,""))))))</f>
        <v>2</v>
      </c>
      <c r="S23" s="212">
        <f aca="true" t="shared" si="4" ref="S23:S82">IF(ISERROR(R23*I23),0,R23*I23)</f>
        <v>30</v>
      </c>
      <c r="T23" s="212">
        <f aca="true" t="shared" si="5" ref="T23:T82">IF(ISERROR(R23*I23*J23),0,R23*I23*J23)</f>
        <v>60</v>
      </c>
      <c r="U23" s="212">
        <f aca="true" t="shared" si="6" ref="U23:U82">IF(ISERROR(R23*J23),0,R23*J23)</f>
        <v>4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LEASPX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34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79</v>
      </c>
      <c r="B24" s="219">
        <v>0</v>
      </c>
      <c r="C24" s="220">
        <v>30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21" t="e">
        <f>IF(D24="",,VLOOKUP(D24,D$22:D23,1,0))</f>
        <v>#N/A</v>
      </c>
      <c r="F24" s="222">
        <f t="shared" si="1"/>
        <v>1.5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11">
        <f t="shared" si="2"/>
        <v>1.5</v>
      </c>
      <c r="R24" s="212">
        <f t="shared" si="3"/>
        <v>3</v>
      </c>
      <c r="S24" s="212">
        <f t="shared" si="4"/>
        <v>30</v>
      </c>
      <c r="T24" s="212">
        <f t="shared" si="5"/>
        <v>30</v>
      </c>
      <c r="U24" s="224">
        <f t="shared" si="6"/>
        <v>3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0.8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21" t="e">
        <f>IF(D25="",,VLOOKUP(D25,D$22:D24,1,0))</f>
        <v>#N/A</v>
      </c>
      <c r="F25" s="222">
        <f t="shared" si="1"/>
        <v>0.76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1">
        <f t="shared" si="2"/>
        <v>0.76</v>
      </c>
      <c r="R25" s="212">
        <f t="shared" si="3"/>
        <v>2</v>
      </c>
      <c r="S25" s="212">
        <f t="shared" si="4"/>
        <v>26</v>
      </c>
      <c r="T25" s="212">
        <f t="shared" si="5"/>
        <v>52</v>
      </c>
      <c r="U25" s="224">
        <f t="shared" si="6"/>
        <v>4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81</v>
      </c>
      <c r="B26" s="219">
        <v>0.09</v>
      </c>
      <c r="C26" s="220">
        <v>0.01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Spirogyra sp.</v>
      </c>
      <c r="E26" s="221" t="e">
        <f>IF(D26="",,VLOOKUP(D26,D$22:D25,1,0))</f>
        <v>#N/A</v>
      </c>
      <c r="F26" s="222">
        <f t="shared" si="1"/>
        <v>0.086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Spirogyra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1147</v>
      </c>
      <c r="Q26" s="211">
        <f t="shared" si="2"/>
        <v>0.086</v>
      </c>
      <c r="R26" s="212">
        <f t="shared" si="3"/>
        <v>1</v>
      </c>
      <c r="S26" s="212">
        <f t="shared" si="4"/>
        <v>10</v>
      </c>
      <c r="T26" s="212">
        <f t="shared" si="5"/>
        <v>10</v>
      </c>
      <c r="U26" s="224">
        <f t="shared" si="6"/>
        <v>1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SPISPX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69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82</v>
      </c>
      <c r="B27" s="219">
        <v>0.01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Tetraspora sp.</v>
      </c>
      <c r="E27" s="221" t="e">
        <f>IF(D27="",,VLOOKUP(D27,D$22:D26,1,0))</f>
        <v>#N/A</v>
      </c>
      <c r="F27" s="222">
        <f t="shared" si="1"/>
        <v>0.009500000000000001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Tetraspora sp.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1138</v>
      </c>
      <c r="Q27" s="211">
        <f t="shared" si="2"/>
        <v>0.009500000000000001</v>
      </c>
      <c r="R27" s="212">
        <f t="shared" si="3"/>
        <v>1</v>
      </c>
      <c r="S27" s="212">
        <f t="shared" si="4"/>
        <v>12</v>
      </c>
      <c r="T27" s="212">
        <f t="shared" si="5"/>
        <v>12</v>
      </c>
      <c r="U27" s="224">
        <f t="shared" si="6"/>
        <v>1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TETSPX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73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83</v>
      </c>
      <c r="B28" s="219">
        <v>0.11</v>
      </c>
      <c r="C28" s="220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Ulothrix sp.</v>
      </c>
      <c r="E28" s="221" t="e">
        <f>IF(D28="",,VLOOKUP(D28,D$22:D27,1,0))</f>
        <v>#N/A</v>
      </c>
      <c r="F28" s="222">
        <f t="shared" si="1"/>
        <v>0.1045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Ulothrix sp.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1142</v>
      </c>
      <c r="Q28" s="211">
        <f t="shared" si="2"/>
        <v>0.1045</v>
      </c>
      <c r="R28" s="212">
        <f t="shared" si="3"/>
        <v>2</v>
      </c>
      <c r="S28" s="212">
        <f t="shared" si="4"/>
        <v>20</v>
      </c>
      <c r="T28" s="212">
        <f t="shared" si="5"/>
        <v>20</v>
      </c>
      <c r="U28" s="224">
        <f t="shared" si="6"/>
        <v>2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ULOSPX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81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84</v>
      </c>
      <c r="B29" s="219">
        <v>0.8</v>
      </c>
      <c r="C29" s="220">
        <v>0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fluviatile</v>
      </c>
      <c r="E29" s="221" t="e">
        <f>IF(D29="",,VLOOKUP(D29,D$22:D28,1,0))</f>
        <v>#N/A</v>
      </c>
      <c r="F29" s="222">
        <f t="shared" si="1"/>
        <v>0.76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11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fluviatile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1223</v>
      </c>
      <c r="Q29" s="211">
        <f t="shared" si="2"/>
        <v>0.76</v>
      </c>
      <c r="R29" s="212">
        <f t="shared" si="3"/>
        <v>2</v>
      </c>
      <c r="S29" s="212">
        <f t="shared" si="4"/>
        <v>22</v>
      </c>
      <c r="T29" s="212">
        <f t="shared" si="5"/>
        <v>44</v>
      </c>
      <c r="U29" s="224">
        <f t="shared" si="6"/>
        <v>4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AMBFLU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147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0.01</v>
      </c>
      <c r="C30" s="220">
        <v>0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Fontinalis squamosa</v>
      </c>
      <c r="E30" s="221" t="e">
        <f>IF(D30="",,VLOOKUP(D30,D$22:D29,1,0))</f>
        <v>#N/A</v>
      </c>
      <c r="F30" s="222">
        <f t="shared" si="1"/>
        <v>0.009500000000000001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16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3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Fontinalis squamosa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1312</v>
      </c>
      <c r="Q30" s="211">
        <f t="shared" si="2"/>
        <v>0.009500000000000001</v>
      </c>
      <c r="R30" s="212">
        <f t="shared" si="3"/>
        <v>1</v>
      </c>
      <c r="S30" s="212">
        <f t="shared" si="4"/>
        <v>16</v>
      </c>
      <c r="T30" s="212">
        <f t="shared" si="5"/>
        <v>48</v>
      </c>
      <c r="U30" s="224">
        <f t="shared" si="6"/>
        <v>3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FONSQU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214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86</v>
      </c>
      <c r="B31" s="219">
        <v>0.02</v>
      </c>
      <c r="C31" s="220">
        <v>0.1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Rhynchostegium riparioides</v>
      </c>
      <c r="E31" s="221" t="e">
        <f>IF(D31="",,VLOOKUP(D31,D$22:D30,1,0))</f>
        <v>#N/A</v>
      </c>
      <c r="F31" s="222">
        <f t="shared" si="1"/>
        <v>0.024000000000000004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Rhynchostegium riparioides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1268</v>
      </c>
      <c r="Q31" s="211">
        <f t="shared" si="2"/>
        <v>0.024000000000000004</v>
      </c>
      <c r="R31" s="212">
        <f t="shared" si="3"/>
        <v>1</v>
      </c>
      <c r="S31" s="212">
        <f t="shared" si="4"/>
        <v>12</v>
      </c>
      <c r="T31" s="212">
        <f t="shared" si="5"/>
        <v>12</v>
      </c>
      <c r="U31" s="224">
        <f t="shared" si="6"/>
        <v>1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RHYRIP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252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87</v>
      </c>
      <c r="B32" s="219">
        <v>0</v>
      </c>
      <c r="C32" s="220">
        <v>0.01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Lysimachia vulgaris</v>
      </c>
      <c r="E32" s="221" t="e">
        <f>IF(D32="",,VLOOKUP(D32,D$22:D31,1,0))</f>
        <v>#N/A</v>
      </c>
      <c r="F32" s="222">
        <f t="shared" si="1"/>
        <v>0.0005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Lysimachia vulgaris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1887</v>
      </c>
      <c r="Q32" s="211">
        <f t="shared" si="2"/>
        <v>0.0005</v>
      </c>
      <c r="R32" s="212">
        <f t="shared" si="3"/>
        <v>1</v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LYSVUL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601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88</v>
      </c>
      <c r="B33" s="219">
        <v>0</v>
      </c>
      <c r="C33" s="220">
        <v>0.01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Phalaris arundinacea</v>
      </c>
      <c r="E33" s="221" t="e">
        <f>IF(D33="",,VLOOKUP(D33,D$22:D32,1,0))</f>
        <v>#N/A</v>
      </c>
      <c r="F33" s="222">
        <f t="shared" si="1"/>
        <v>0.0005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Phalaris arundinacea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1577</v>
      </c>
      <c r="Q33" s="211">
        <f t="shared" si="2"/>
        <v>0.0005</v>
      </c>
      <c r="R33" s="212">
        <f t="shared" si="3"/>
        <v>1</v>
      </c>
      <c r="S33" s="212">
        <f t="shared" si="4"/>
        <v>10</v>
      </c>
      <c r="T33" s="212">
        <f t="shared" si="5"/>
        <v>10</v>
      </c>
      <c r="U33" s="224">
        <f t="shared" si="6"/>
        <v>1</v>
      </c>
      <c r="V33" s="213">
        <f t="shared" si="7"/>
      </c>
      <c r="W33" s="214" t="s">
        <v>55</v>
      </c>
      <c r="Y33" s="215" t="str">
        <f>IF(A33="new.cod","NEWCOD",IF(AND((Z33=""),ISTEXT(A33)),A33,IF(Z33="","",INDEX('[1]liste reference'!$A$8:$A$904,Z33))))</f>
        <v>PHAARU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634</v>
      </c>
      <c r="AA33" s="216"/>
      <c r="AB33" s="217"/>
      <c r="AC33" s="217"/>
      <c r="BB33" s="8">
        <f t="shared" si="8"/>
        <v>1</v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89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Volane</v>
      </c>
      <c r="B84" s="254" t="str">
        <f>C3</f>
        <v>VOLANE A VALS LES BAINS</v>
      </c>
      <c r="C84" s="255">
        <f>A4</f>
        <v>41443</v>
      </c>
      <c r="D84" s="256">
        <f>IF(ISERROR(SUM($T$23:$T$82)/SUM($U$23:$U$82)),"",SUM($T$23:$T$82)/SUM($U$23:$U$82))</f>
        <v>12.416666666666666</v>
      </c>
      <c r="E84" s="257">
        <f>N13</f>
        <v>11</v>
      </c>
      <c r="F84" s="254">
        <f>N14</f>
        <v>10</v>
      </c>
      <c r="G84" s="254">
        <f>N15</f>
        <v>6</v>
      </c>
      <c r="H84" s="254">
        <f>N16</f>
        <v>3</v>
      </c>
      <c r="I84" s="254">
        <f>N17</f>
        <v>1</v>
      </c>
      <c r="J84" s="258">
        <f>N8</f>
        <v>11.9</v>
      </c>
      <c r="K84" s="256">
        <f>N9</f>
        <v>2.071231517720798</v>
      </c>
      <c r="L84" s="257">
        <f>N10</f>
        <v>10</v>
      </c>
      <c r="M84" s="257">
        <f>N11</f>
        <v>16</v>
      </c>
      <c r="N84" s="256">
        <f>O8</f>
        <v>1.5</v>
      </c>
      <c r="O84" s="256">
        <f>O9</f>
        <v>0.6708203932499369</v>
      </c>
      <c r="P84" s="257">
        <f>O10</f>
        <v>1</v>
      </c>
      <c r="Q84" s="257">
        <f>O11</f>
        <v>3</v>
      </c>
      <c r="R84" s="257">
        <f>F21</f>
        <v>3.7295000000000007</v>
      </c>
      <c r="S84" s="257">
        <f>K11</f>
        <v>0</v>
      </c>
      <c r="T84" s="257">
        <f>K12</f>
        <v>6</v>
      </c>
      <c r="U84" s="257">
        <f>K13</f>
        <v>3</v>
      </c>
      <c r="V84" s="259">
        <f>K14</f>
        <v>0</v>
      </c>
      <c r="W84" s="260">
        <f>K15</f>
        <v>2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90</v>
      </c>
      <c r="R86" s="8"/>
      <c r="S86" s="213"/>
      <c r="T86" s="8"/>
      <c r="U86" s="8"/>
      <c r="V86" s="8"/>
    </row>
    <row r="87" spans="16:22" ht="12.75" hidden="1">
      <c r="P87" s="8"/>
      <c r="Q87" s="8" t="s">
        <v>91</v>
      </c>
      <c r="R87" s="8"/>
      <c r="S87" s="213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92</v>
      </c>
      <c r="R88" s="8"/>
      <c r="S88" s="213">
        <f>VLOOKUP((S87),($S$23:$U$82),2,0)</f>
        <v>60</v>
      </c>
      <c r="T88" s="8"/>
      <c r="U88" s="8"/>
      <c r="V88" s="8"/>
    </row>
    <row r="89" spans="17:20" ht="12.75" hidden="1">
      <c r="Q89" s="8" t="s">
        <v>93</v>
      </c>
      <c r="R89" s="8"/>
      <c r="S89" s="213">
        <f>VLOOKUP((S87),($S$23:$U$82),3,0)</f>
        <v>4</v>
      </c>
      <c r="T89" s="8"/>
    </row>
    <row r="90" spans="17:20" ht="12.75">
      <c r="Q90" s="8" t="s">
        <v>94</v>
      </c>
      <c r="R90" s="8"/>
      <c r="S90" s="263">
        <f>IF(ISERROR(SUM($T$23:$T$82)/SUM($U$23:$U$82)),"",(SUM($T$23:$T$82)-S88)/(SUM($U$23:$U$82)-S89))</f>
        <v>11.9</v>
      </c>
      <c r="T90" s="8"/>
    </row>
    <row r="91" spans="17:21" ht="12.75">
      <c r="Q91" s="212" t="s">
        <v>95</v>
      </c>
      <c r="R91" s="212"/>
      <c r="S91" s="212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52"/>
    </row>
    <row r="92" spans="17:20" ht="12.75">
      <c r="Q92" s="8" t="s">
        <v>96</v>
      </c>
      <c r="R92" s="8"/>
      <c r="S92" s="8">
        <f>MATCH(S87,$S$23:$S$82,0)</f>
        <v>1</v>
      </c>
      <c r="T92" s="8"/>
    </row>
    <row r="93" spans="17:20" ht="12.75">
      <c r="Q93" s="212" t="s">
        <v>97</v>
      </c>
      <c r="R93" s="8"/>
      <c r="S93" s="212" t="str">
        <f>INDEX($A$23:$A$82,$S$92)</f>
        <v>LEASPX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2013-12-04T14:54:09Z</dcterms:created>
  <dcterms:modified xsi:type="dcterms:W3CDTF">2013-12-04T14:55:09Z</dcterms:modified>
  <cp:category/>
  <cp:version/>
  <cp:contentType/>
  <cp:contentStatus/>
</cp:coreProperties>
</file>