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<sst xmlns="http://schemas.openxmlformats.org/spreadsheetml/2006/main" count="218" uniqueCount="99">
  <si>
    <t>Relevés floristiques aquatiques - IBMR</t>
  </si>
  <si>
    <t>modèle Irstea-GIS</t>
  </si>
  <si>
    <t>SAGE ENVIRONNEMENT</t>
  </si>
  <si>
    <t>CBERNARD M SCHNEIDER</t>
  </si>
  <si>
    <t>VOLANE</t>
  </si>
  <si>
    <t>VOLANE A VALS LES BAINS</t>
  </si>
  <si>
    <t>06114295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</si>
  <si>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</si>
  <si>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</si>
  <si>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</si>
  <si>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</si>
  <si>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</si>
  <si>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</si>
  <si>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</si>
  <si>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</si>
  <si>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</si>
  <si>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</si>
  <si>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</si>
  <si>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rapide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</si>
  <si>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</si>
  <si>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</si>
  <si>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</si>
  <si>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</si>
  <si>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</si>
  <si>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</si>
  <si>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</si>
  <si>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</si>
  <si>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</si>
  <si>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</si>
  <si>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</si>
  <si>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</si>
  <si>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</si>
  <si>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</si>
  <si>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</si>
  <si>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</si>
  <si>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</si>
  <si>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</si>
  <si>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</si>
  <si>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</si>
  <si>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</si>
  <si>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</si>
  <si>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</si>
  <si>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</si>
  <si>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</si>
  <si>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</si>
  <si>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</si>
  <si>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</si>
  <si>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</si>
  <si>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</si>
  <si>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</si>
  <si>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</si>
  <si>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</si>
  <si>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</si>
  <si>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</si>
  <si>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</si>
  <si>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</si>
  <si>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</si>
  <si>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</si>
  <si>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</si>
  <si>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</si>
  <si>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</si>
  <si>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</si>
  <si>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</si>
  <si>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</si>
  <si>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</si>
  <si>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</si>
  <si>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</si>
  <si>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</si>
  <si>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</si>
  <si>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</si>
  <si>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</si>
  <si>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</si>
  <si>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</si>
  <si>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</si>
  <si>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</si>
  <si>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</si>
  <si>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</si>
  <si>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</si>
  <si>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</si>
  <si>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</si>
  <si>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</si>
  <si>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</si>
  <si>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</si>
  <si>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LEASPX</t>
  </si>
  <si>
    <t>MELSPX</t>
  </si>
  <si>
    <t>NOSSPX</t>
  </si>
  <si>
    <t>OEDSPX</t>
  </si>
  <si>
    <t>SPISPX</t>
  </si>
  <si>
    <t>TETSPX</t>
  </si>
  <si>
    <t>newcod</t>
  </si>
  <si>
    <t>TABELLARIA SP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</si>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</sst>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OLVA_21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C16" sqref="AC16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42206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10.733333333333333</v>
      </c>
      <c r="N5" s="50"/>
      <c r="O5" s="51" t="s">
        <v>16</v>
      </c>
      <c r="P5" s="52">
        <v>9.909090909090908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10.125</v>
      </c>
      <c r="P8" s="85">
        <f>IF(ISERROR(AVERAGE(K23:K82)),"  ",AVERAGE(K23:K82))</f>
        <v>1.375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0.47</v>
      </c>
      <c r="C9" s="88">
        <v>4.52</v>
      </c>
      <c r="D9" s="89"/>
      <c r="E9" s="89"/>
      <c r="F9" s="90">
        <f>($B9*$B$7+$C9*$C$7)/100</f>
        <v>0.875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2.9764702249476644</v>
      </c>
      <c r="P9" s="85">
        <f>IF(ISERROR(STDEVP(K23:K82)),"  ",STDEVP(K23:K82))</f>
        <v>0.4841229182759271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0.47</v>
      </c>
      <c r="C12" s="114">
        <v>4.52</v>
      </c>
      <c r="D12" s="89"/>
      <c r="E12" s="89"/>
      <c r="F12" s="106">
        <f>($B12*$B$7+$C12*$C$7)/100</f>
        <v>0.875</v>
      </c>
      <c r="G12" s="107"/>
      <c r="H12" s="56"/>
      <c r="I12" s="5"/>
      <c r="J12" s="108" t="s">
        <v>39</v>
      </c>
      <c r="K12" s="109"/>
      <c r="L12" s="110">
        <f>COUNTIF($G$23:$G$82,"=ALG")</f>
        <v>8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0</v>
      </c>
      <c r="M13" s="111"/>
      <c r="N13" s="120" t="s">
        <v>42</v>
      </c>
      <c r="O13" s="121">
        <f>COUNTIF(F23:F82,"&gt;0")</f>
        <v>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0.47</v>
      </c>
      <c r="C17" s="114">
        <v>4.52</v>
      </c>
      <c r="D17" s="89"/>
      <c r="E17" s="89"/>
      <c r="F17" s="133"/>
      <c r="G17" s="134">
        <f>($B17*$B$7+$C17*$C$7)/100</f>
        <v>0.875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0.875</v>
      </c>
      <c r="G19" s="157">
        <f>SUM(G16:G18)</f>
        <v>0.875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0.47000000000000003</v>
      </c>
      <c r="C20" s="167">
        <f>SUM(C23:C62)</f>
        <v>4.52</v>
      </c>
      <c r="D20" s="168"/>
      <c r="E20" s="169" t="s">
        <v>55</v>
      </c>
      <c r="F20" s="170">
        <f>($B20*$B$7+$C20*$C$7)/100</f>
        <v>0.875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0.42300000000000004</v>
      </c>
      <c r="C21" s="178">
        <f>C20*C7/100</f>
        <v>0.45199999999999996</v>
      </c>
      <c r="D21" s="179" t="s">
        <v>59</v>
      </c>
      <c r="E21" s="180"/>
      <c r="F21" s="181">
        <f>B21+C21</f>
        <v>0.875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0.1</v>
      </c>
      <c r="C23" s="208">
        <v>0.0095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0.09095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0.09095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83</v>
      </c>
      <c r="B24" s="225">
        <v>0.1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Lemanea sp.</v>
      </c>
      <c r="E24" s="228" t="e">
        <f>IF(D24="",,VLOOKUP(D24,D$22:D23,1,0))</f>
        <v>#N/A</v>
      </c>
      <c r="F24" s="229">
        <f t="shared" si="0"/>
        <v>0.09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Lemanea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1159</v>
      </c>
      <c r="R24" s="219">
        <f t="shared" si="2"/>
        <v>0.09</v>
      </c>
      <c r="S24" s="220">
        <f t="shared" si="3"/>
        <v>1</v>
      </c>
      <c r="T24" s="220">
        <f t="shared" si="4"/>
        <v>15</v>
      </c>
      <c r="U24" s="220">
        <f t="shared" si="5"/>
        <v>30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LEASPX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59</v>
      </c>
    </row>
    <row r="25" spans="1:26" ht="12.75">
      <c r="A25" s="224" t="s">
        <v>84</v>
      </c>
      <c r="B25" s="225">
        <v>0</v>
      </c>
      <c r="C25" s="226">
        <v>2.64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Melosira sp.</v>
      </c>
      <c r="E25" s="228" t="e">
        <f>IF(D25="",,VLOOKUP(D25,D$22:D24,1,0))</f>
        <v>#N/A</v>
      </c>
      <c r="F25" s="229">
        <f t="shared" si="0"/>
        <v>0.264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Melosira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8714</v>
      </c>
      <c r="R25" s="219">
        <f t="shared" si="2"/>
        <v>0.264</v>
      </c>
      <c r="S25" s="220">
        <f t="shared" si="3"/>
        <v>2</v>
      </c>
      <c r="T25" s="220">
        <f t="shared" si="4"/>
        <v>20</v>
      </c>
      <c r="U25" s="220">
        <f t="shared" si="5"/>
        <v>20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MELSPX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62</v>
      </c>
    </row>
    <row r="26" spans="1:26" ht="12.75">
      <c r="A26" s="224" t="s">
        <v>85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Nostoc sp.</v>
      </c>
      <c r="E26" s="228" t="e">
        <f>IF(D26="",,VLOOKUP(D26,D$22:D25,1,0))</f>
        <v>#N/A</v>
      </c>
      <c r="F26" s="229">
        <f t="shared" si="0"/>
        <v>0.009000000000000001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9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Nostoc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1105</v>
      </c>
      <c r="R26" s="219">
        <f t="shared" si="2"/>
        <v>0.009000000000000001</v>
      </c>
      <c r="S26" s="220">
        <f t="shared" si="3"/>
        <v>1</v>
      </c>
      <c r="T26" s="220">
        <f t="shared" si="4"/>
        <v>9</v>
      </c>
      <c r="U26" s="220">
        <f t="shared" si="5"/>
        <v>9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NOSSPX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84</v>
      </c>
    </row>
    <row r="27" spans="1:26" ht="12.75">
      <c r="A27" s="224" t="s">
        <v>86</v>
      </c>
      <c r="B27" s="225">
        <v>0</v>
      </c>
      <c r="C27" s="226">
        <v>0.0605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Oedogonium sp.</v>
      </c>
      <c r="E27" s="228" t="e">
        <f>IF(D27="",,VLOOKUP(D27,D$22:D26,1,0))</f>
        <v>#N/A</v>
      </c>
      <c r="F27" s="229">
        <f t="shared" si="0"/>
        <v>0.00605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6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Oedogonium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1134</v>
      </c>
      <c r="R27" s="219">
        <f t="shared" si="2"/>
        <v>0.00605</v>
      </c>
      <c r="S27" s="220">
        <f t="shared" si="3"/>
        <v>1</v>
      </c>
      <c r="T27" s="220">
        <f t="shared" si="4"/>
        <v>6</v>
      </c>
      <c r="U27" s="220">
        <f t="shared" si="5"/>
        <v>12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OEDSPX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85</v>
      </c>
    </row>
    <row r="28" spans="1:26" ht="12.75">
      <c r="A28" s="224" t="s">
        <v>16</v>
      </c>
      <c r="B28" s="225">
        <v>0.2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Phormidium sp.</v>
      </c>
      <c r="E28" s="228" t="e">
        <f>IF(D28="",,VLOOKUP(D28,D$22:D27,1,0))</f>
        <v>#N/A</v>
      </c>
      <c r="F28" s="229">
        <f t="shared" si="0"/>
        <v>0.18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Phormidium sp.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6414</v>
      </c>
      <c r="R28" s="219">
        <f t="shared" si="2"/>
        <v>0.18</v>
      </c>
      <c r="S28" s="220">
        <f t="shared" si="3"/>
        <v>2</v>
      </c>
      <c r="T28" s="220">
        <f t="shared" si="4"/>
        <v>26</v>
      </c>
      <c r="U28" s="220">
        <f t="shared" si="5"/>
        <v>52</v>
      </c>
      <c r="V28" s="236">
        <f t="shared" si="6"/>
        <v>4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PHOSPX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88</v>
      </c>
    </row>
    <row r="29" spans="1:26" ht="12.75">
      <c r="A29" s="224" t="s">
        <v>87</v>
      </c>
      <c r="B29" s="225">
        <v>0.05</v>
      </c>
      <c r="C29" s="226">
        <v>1.65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Spirogyra sp.</v>
      </c>
      <c r="E29" s="228" t="e">
        <f>IF(D29="",,VLOOKUP(D29,D$22:D28,1,0))</f>
        <v>#N/A</v>
      </c>
      <c r="F29" s="229">
        <f t="shared" si="0"/>
        <v>0.21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Spirogyra sp.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1147</v>
      </c>
      <c r="R29" s="219">
        <f t="shared" si="2"/>
        <v>0.21000000000000002</v>
      </c>
      <c r="S29" s="220">
        <f t="shared" si="3"/>
        <v>2</v>
      </c>
      <c r="T29" s="220">
        <f t="shared" si="4"/>
        <v>20</v>
      </c>
      <c r="U29" s="220">
        <f t="shared" si="5"/>
        <v>20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SPISPX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102</v>
      </c>
    </row>
    <row r="30" spans="1:26" ht="12.75">
      <c r="A30" s="224" t="s">
        <v>88</v>
      </c>
      <c r="B30" s="225">
        <v>0.01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Tetraspora sp.</v>
      </c>
      <c r="E30" s="228" t="e">
        <f>IF(D30="",,VLOOKUP(D30,D$22:D29,1,0))</f>
        <v>#N/A</v>
      </c>
      <c r="F30" s="229">
        <f t="shared" si="0"/>
        <v>0.01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Tetraspora sp.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1138</v>
      </c>
      <c r="R30" s="219">
        <f t="shared" si="2"/>
        <v>0.010000000000000002</v>
      </c>
      <c r="S30" s="220">
        <f t="shared" si="3"/>
        <v>1</v>
      </c>
      <c r="T30" s="220">
        <f t="shared" si="4"/>
        <v>12</v>
      </c>
      <c r="U30" s="220">
        <f t="shared" si="5"/>
        <v>12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TETSPX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107</v>
      </c>
    </row>
    <row r="31" spans="1:26" ht="12.75">
      <c r="A31" s="224" t="s">
        <v>89</v>
      </c>
      <c r="B31" s="225">
        <v>0</v>
      </c>
      <c r="C31" s="226">
        <v>0.15</v>
      </c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  <v>0.015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    -</v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  <v>1</v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TABELLARIA SP</v>
      </c>
      <c r="M31" s="233"/>
      <c r="N31" s="233"/>
      <c r="O31" s="233"/>
      <c r="P31" s="234" t="s">
        <v>82</v>
      </c>
      <c r="Q31" s="235" t="str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NoCod</v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 t="s">
        <v>90</v>
      </c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newcod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0.875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15</v>
      </c>
      <c r="W83" s="220"/>
      <c r="X83" s="258"/>
      <c r="Y83" s="258"/>
      <c r="Z83" s="259"/>
    </row>
    <row r="84" spans="1:26" ht="12.75" hidden="1">
      <c r="A84" s="253" t="str">
        <f>A3</f>
        <v>VOLANE</v>
      </c>
      <c r="B84" s="187" t="str">
        <f>C3</f>
        <v>VOLANE A VALS LES BAINS</v>
      </c>
      <c r="C84" s="260" t="str">
        <f>A4</f>
        <v>(Date)</v>
      </c>
      <c r="D84" s="261">
        <f>IF(OR(ISERROR(SUM($U$23:$U$82)/SUM($V$23:$V$82)),F7&lt;&gt;100),-1,SUM($U$23:$U$82)/SUM($V$23:$V$82))</f>
        <v>10.733333333333333</v>
      </c>
      <c r="E84" s="262">
        <f>O13</f>
        <v>9</v>
      </c>
      <c r="F84" s="187">
        <f>O14</f>
        <v>8</v>
      </c>
      <c r="G84" s="187">
        <f>O15</f>
        <v>5</v>
      </c>
      <c r="H84" s="187">
        <f>O16</f>
        <v>3</v>
      </c>
      <c r="I84" s="187">
        <f>O17</f>
        <v>0</v>
      </c>
      <c r="J84" s="263">
        <f>O8</f>
        <v>10.125</v>
      </c>
      <c r="K84" s="264">
        <f>O9</f>
        <v>2.9764702249476644</v>
      </c>
      <c r="L84" s="265">
        <f>O10</f>
        <v>6</v>
      </c>
      <c r="M84" s="265">
        <f>O11</f>
        <v>15</v>
      </c>
      <c r="N84" s="264">
        <f>P8</f>
        <v>1.375</v>
      </c>
      <c r="O84" s="264">
        <f>P9</f>
        <v>0.4841229182759271</v>
      </c>
      <c r="P84" s="265">
        <f>P10</f>
        <v>1</v>
      </c>
      <c r="Q84" s="265">
        <f>P11</f>
        <v>2</v>
      </c>
      <c r="R84" s="265">
        <f>F21</f>
        <v>0.875</v>
      </c>
      <c r="S84" s="265">
        <f>L11</f>
        <v>0</v>
      </c>
      <c r="T84" s="265">
        <f>L12</f>
        <v>8</v>
      </c>
      <c r="U84" s="265">
        <f>L13</f>
        <v>0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91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92</v>
      </c>
      <c r="S87" s="5"/>
      <c r="T87" s="272">
        <f>VLOOKUP($T$91,($A$23:$U$82),20,FALSE)</f>
        <v>26</v>
      </c>
      <c r="U87" s="5"/>
      <c r="V87" s="5"/>
    </row>
    <row r="88" spans="3:22" ht="12.75" hidden="1">
      <c r="C88" s="269"/>
      <c r="D88" s="269"/>
      <c r="E88" s="269"/>
      <c r="R88" s="5" t="s">
        <v>93</v>
      </c>
      <c r="S88" s="5"/>
      <c r="T88" s="272">
        <f>VLOOKUP($T$91,($A$23:$U$82),21,FALSE)</f>
        <v>52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94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95</v>
      </c>
      <c r="S90" s="5" t="s">
        <v>10</v>
      </c>
      <c r="T90" s="273">
        <f>IF(OR(ISERROR(SUM($U$23:$U$82)/SUM($V$23:$V$82)),F7&lt;&gt;100),-1,(SUM($U$23:$U$82)-T88)/(SUM($V$23:$V$82)-T89))</f>
        <v>9.909090909090908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96</v>
      </c>
      <c r="S91" s="220"/>
      <c r="T91" s="220" t="str">
        <f>INDEX('[1]liste reference'!$A$6:$A$1174,$U$91)</f>
        <v>PHOSPX</v>
      </c>
      <c r="U91" s="5">
        <f>IF(ISERROR(MATCH($T$93,'[1]liste reference'!$A$6:$A$1174,0)),MATCH($T$93,'[1]liste reference'!$B$6:$B$1174,0),(MATCH($T$93,'[1]liste reference'!$A$6:$A$1174,0)))</f>
        <v>88</v>
      </c>
      <c r="V91" s="274"/>
    </row>
    <row r="92" spans="3:21" ht="12.75" hidden="1">
      <c r="C92" s="269"/>
      <c r="D92" s="269"/>
      <c r="E92" s="269"/>
      <c r="R92" s="5" t="s">
        <v>97</v>
      </c>
      <c r="S92" s="5"/>
      <c r="T92" s="5">
        <f>MATCH(T89,$V$23:$V$82,0)</f>
        <v>6</v>
      </c>
      <c r="U92" s="5"/>
    </row>
    <row r="93" spans="3:21" ht="12.75" hidden="1">
      <c r="C93" s="269"/>
      <c r="D93" s="269"/>
      <c r="E93" s="269"/>
      <c r="R93" s="220" t="s">
        <v>98</v>
      </c>
      <c r="S93" s="5"/>
      <c r="T93" s="220" t="str">
        <f>INDEX($A$23:$A$82,$T$92)</f>
        <v>PHOSPX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2016-04-06T13:33:44Z</dcterms:created>
  <dcterms:modified xsi:type="dcterms:W3CDTF">2016-04-06T13:33:47Z</dcterms:modified>
  <cp:category/>
  <cp:version/>
  <cp:contentType/>
  <cp:contentStatus/>
</cp:coreProperties>
</file>