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<sst xmlns="http://schemas.openxmlformats.org/spreadsheetml/2006/main" count="220" uniqueCount="103">
  <si>
    <t>Relevés floristiques aquatiques - IBMR</t>
  </si>
  <si>
    <t xml:space="preserve">Formulaire modèle GIS Macrophytes v 3.3 - novembre 2013  </t>
  </si>
  <si>
    <t>SAGE ENVIRONNEMENT</t>
  </si>
  <si>
    <t>CBERNARD PVAUDAUX</t>
  </si>
  <si>
    <t>conforme AFNOR T90-395 oct. 2003</t>
  </si>
  <si>
    <t>ARDECHE</t>
  </si>
  <si>
    <t>ARDECHE A VALLON PONT D'ARC</t>
  </si>
  <si>
    <t>06115090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</si>
  <si>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</si>
  <si>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</si>
  <si>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</si>
  <si>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</si>
  <si>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</si>
  <si>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</si>
  <si>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</si>
  <si>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</si>
  <si>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</si>
  <si>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</si>
  <si>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Rapide</t>
  </si>
  <si>
    <t>Plat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</si>
  <si>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</si>
  <si>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</si>
  <si>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</si>
  <si>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</si>
  <si>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</si>
  <si>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</si>
  <si>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</si>
  <si>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</si>
  <si>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</si>
  <si>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</si>
  <si>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</si>
  <si>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</si>
  <si>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</si>
  <si>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</si>
  <si>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</si>
  <si>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</si>
  <si>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</si>
  <si>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</si>
  <si>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</si>
  <si>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</si>
  <si>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</si>
  <si>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</si>
  <si>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</si>
  <si>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</si>
  <si>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</si>
  <si>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</si>
  <si>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</si>
  <si>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</si>
  <si>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</si>
  <si>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</si>
  <si>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</si>
  <si>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</si>
  <si>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</si>
  <si>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</si>
  <si>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</si>
  <si>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</si>
  <si>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</si>
  <si>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</si>
  <si>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</si>
  <si>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</si>
  <si>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</si>
  <si>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</si>
  <si>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</si>
  <si>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</si>
  <si>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</si>
  <si>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</si>
  <si>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</si>
  <si>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</si>
  <si>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</si>
  <si>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</si>
  <si>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</si>
  <si>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</si>
  <si>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</si>
  <si>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</si>
  <si>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</si>
  <si>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</si>
  <si>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</si>
  <si>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</si>
  <si>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</si>
  <si>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</si>
  <si>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DIASPX</t>
  </si>
  <si>
    <t>OEDSPX</t>
  </si>
  <si>
    <t>SPISPX</t>
  </si>
  <si>
    <t>ULOSPX</t>
  </si>
  <si>
    <t>CINDAN</t>
  </si>
  <si>
    <t>CINRIP</t>
  </si>
  <si>
    <t>MYRSPI</t>
  </si>
  <si>
    <t>POTCRI</t>
  </si>
  <si>
    <t>RANPES</t>
  </si>
  <si>
    <t>GLYFLU</t>
  </si>
  <si>
    <t>PHAARU</t>
  </si>
  <si>
    <t>VERANA</t>
  </si>
  <si>
    <t>newcod</t>
  </si>
  <si>
    <t>Leptolyngbia sp.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</si>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</sst>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sz val="7"/>
      <name val="Arial"/>
      <family val="2"/>
    </font>
    <font>
      <i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49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9" fontId="49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79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45" fillId="39" borderId="10" xfId="50" applyFont="1" applyFill="1" applyBorder="1" applyAlignment="1" applyProtection="1">
      <alignment horizontal="right"/>
      <protection locked="0"/>
    </xf>
    <xf numFmtId="2" fontId="45" fillId="38" borderId="73" xfId="0" applyNumberFormat="1" applyFont="1" applyFill="1" applyBorder="1" applyAlignment="1" applyProtection="1">
      <alignment horizontal="center"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6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47" fillId="42" borderId="10" xfId="50" applyFont="1" applyFill="1" applyBorder="1" applyAlignment="1" applyProtection="1">
      <alignment horizontal="right"/>
      <protection locked="0"/>
    </xf>
    <xf numFmtId="0" fontId="45" fillId="43" borderId="10" xfId="50" applyFont="1" applyFill="1" applyBorder="1" applyAlignment="1" applyProtection="1">
      <alignment horizontal="right"/>
      <protection locked="0"/>
    </xf>
    <xf numFmtId="0" fontId="45" fillId="38" borderId="79" xfId="0" applyFont="1" applyFill="1" applyBorder="1" applyAlignment="1" applyProtection="1" quotePrefix="1">
      <alignment horizontal="right" wrapText="1"/>
      <protection locked="0"/>
    </xf>
    <xf numFmtId="2" fontId="45" fillId="38" borderId="80" xfId="0" applyNumberFormat="1" applyFont="1" applyFill="1" applyBorder="1" applyAlignment="1" applyProtection="1">
      <alignment horizontal="center"/>
      <protection locked="0"/>
    </xf>
    <xf numFmtId="0" fontId="0" fillId="40" borderId="81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6" fillId="34" borderId="82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6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3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4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6" fillId="34" borderId="11" xfId="0" applyNumberFormat="1" applyFont="1" applyFill="1" applyBorder="1" applyAlignment="1" applyProtection="1">
      <alignment horizontal="center"/>
      <protection hidden="1"/>
    </xf>
    <xf numFmtId="0" fontId="0" fillId="38" borderId="85" xfId="0" applyFill="1" applyBorder="1" applyAlignment="1" applyProtection="1">
      <alignment/>
      <protection hidden="1"/>
    </xf>
    <xf numFmtId="0" fontId="0" fillId="38" borderId="85" xfId="0" applyFill="1" applyBorder="1" applyAlignment="1">
      <alignment/>
    </xf>
    <xf numFmtId="0" fontId="43" fillId="38" borderId="83" xfId="0" applyFont="1" applyFill="1" applyBorder="1" applyAlignment="1" applyProtection="1">
      <alignment horizontal="right"/>
      <protection hidden="1"/>
    </xf>
    <xf numFmtId="0" fontId="43" fillId="38" borderId="83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color indexed="22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101822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4965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ARVAL_11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A22" sqref="A22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41801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10.91891891891892</v>
      </c>
      <c r="M5" s="52"/>
      <c r="N5" s="53" t="s">
        <v>16</v>
      </c>
      <c r="O5" s="54">
        <v>10.516129032258064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80</v>
      </c>
      <c r="C7" s="66">
        <v>20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10.357142857142858</v>
      </c>
      <c r="O8" s="84">
        <f>IF(ISERROR(AVERAGE(J23:J82)),"      -",AVERAGE(J23:J82))</f>
        <v>1.7857142857142858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12.58</v>
      </c>
      <c r="C9" s="87">
        <v>14.27</v>
      </c>
      <c r="D9" s="88"/>
      <c r="E9" s="88"/>
      <c r="F9" s="89">
        <f>($B9*$B$7+$C9*$C$7)/100</f>
        <v>12.918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2.607876609075526</v>
      </c>
      <c r="O9" s="84">
        <f>IF(ISERROR(STDEVP(J23:J82)),"      -",STDEVP(J23:J82))</f>
        <v>0.5578749768504754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6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14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12.31</v>
      </c>
      <c r="C12" s="120">
        <v>14.2</v>
      </c>
      <c r="D12" s="111"/>
      <c r="E12" s="111"/>
      <c r="F12" s="112">
        <f>($B12*$B$7+$C12*$C$7)/100</f>
        <v>12.688000000000002</v>
      </c>
      <c r="G12" s="121"/>
      <c r="H12" s="67"/>
      <c r="I12" s="122" t="s">
        <v>39</v>
      </c>
      <c r="J12" s="123"/>
      <c r="K12" s="116">
        <f>COUNTIF($G$23:$G$82,"=ALG")</f>
        <v>6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0.25</v>
      </c>
      <c r="C13" s="120">
        <v>0.01</v>
      </c>
      <c r="D13" s="111"/>
      <c r="E13" s="111"/>
      <c r="F13" s="112">
        <f>($B13*$B$7+$C13*$C$7)/100</f>
        <v>0.20199999999999999</v>
      </c>
      <c r="G13" s="121"/>
      <c r="H13" s="67"/>
      <c r="I13" s="129" t="s">
        <v>41</v>
      </c>
      <c r="J13" s="123"/>
      <c r="K13" s="116">
        <f>COUNTIF($G$23:$G$82,"=BRm")+COUNTIF($G$23:$G$82,"=BRh")</f>
        <v>2</v>
      </c>
      <c r="L13" s="117"/>
      <c r="M13" s="130" t="s">
        <v>42</v>
      </c>
      <c r="N13" s="131">
        <f>COUNTIF(F23:F82,"&gt;0")</f>
        <v>15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14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>
        <v>0.02</v>
      </c>
      <c r="C15" s="139">
        <v>0.06</v>
      </c>
      <c r="D15" s="111"/>
      <c r="E15" s="111"/>
      <c r="F15" s="112">
        <f>($B15*$B$7+$C15*$C$7)/100</f>
        <v>0.027999999999999997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6</v>
      </c>
      <c r="L15" s="117"/>
      <c r="M15" s="140" t="s">
        <v>48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>
        <v>0.01</v>
      </c>
      <c r="D16" s="143"/>
      <c r="E16" s="143"/>
      <c r="F16" s="144"/>
      <c r="G16" s="144">
        <f>($B16*$B$7+$C16*$C$7)/100</f>
        <v>0.002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9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12.58</v>
      </c>
      <c r="C17" s="120">
        <v>14.24</v>
      </c>
      <c r="D17" s="111"/>
      <c r="E17" s="111"/>
      <c r="F17" s="147"/>
      <c r="G17" s="112">
        <f>($B17*$B$7+$C17*$C$7)/100</f>
        <v>12.912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>
        <v>0.02</v>
      </c>
      <c r="D18" s="111"/>
      <c r="E18" s="152" t="s">
        <v>54</v>
      </c>
      <c r="F18" s="147"/>
      <c r="G18" s="112">
        <f>($B18*$B$7+$C18*$C$7)/100</f>
        <v>0.004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12.918000000000003</v>
      </c>
      <c r="G19" s="161">
        <f>SUM(G16:G18)</f>
        <v>12.918000000000001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12.58</v>
      </c>
      <c r="C20" s="171">
        <f>SUM(C23:C82)</f>
        <v>14.269999999999998</v>
      </c>
      <c r="D20" s="172"/>
      <c r="E20" s="173" t="s">
        <v>54</v>
      </c>
      <c r="F20" s="174">
        <f>($B20*$B$7+$C20*$C$7)/100</f>
        <v>12.918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10.064</v>
      </c>
      <c r="C21" s="184">
        <f>C20*C7/100</f>
        <v>2.8539999999999996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12.918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5">
      <c r="A23" s="210" t="s">
        <v>79</v>
      </c>
      <c r="B23" s="211">
        <v>8.55</v>
      </c>
      <c r="C23" s="211">
        <v>2.02</v>
      </c>
      <c r="D23" s="212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2" t="e">
        <f>IF(D23="",,VLOOKUP(D23,D$22:D22,1,0))</f>
        <v>#N/A</v>
      </c>
      <c r="F23" s="213">
        <f>($B23*$B$7+$C23*$C$7)/100</f>
        <v>7.244</v>
      </c>
      <c r="G23" s="21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8"/>
      <c r="M23" s="218"/>
      <c r="N23" s="218"/>
      <c r="O23" s="219"/>
      <c r="P23" s="21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0">
        <f>IF(ISTEXT(H23),"",(B23*$B$7/100)+(C23*$C$7/100))</f>
        <v>7.244</v>
      </c>
      <c r="R23" s="221">
        <f>IF(OR(ISTEXT(H23),Q23=0),"",IF(Q23&lt;0.1,1,IF(Q23&lt;1,2,IF(Q23&lt;10,3,IF(Q23&lt;50,4,IF(Q23&gt;=50,5,""))))))</f>
        <v>3</v>
      </c>
      <c r="S23" s="221">
        <f>IF(ISERROR(R23*I23),0,R23*I23)</f>
        <v>18</v>
      </c>
      <c r="T23" s="221">
        <f>IF(ISERROR(R23*I23*J23),0,R23*I23*J23)</f>
        <v>18</v>
      </c>
      <c r="U23" s="221">
        <f>IF(ISERROR(R23*J23),0,R23*J23)</f>
        <v>3</v>
      </c>
      <c r="V23" s="222">
        <f>IF(AND(A23="",F23=0),"",IF(F23=0,"Il manque le(s) % de rec. !",""))</f>
      </c>
      <c r="W23" s="223" t="s">
        <v>55</v>
      </c>
      <c r="Y23" s="224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5"/>
      <c r="AB23" s="226"/>
      <c r="AC23" s="226"/>
      <c r="BB23" s="8">
        <f>IF(A23="","",1)</f>
        <v>1</v>
      </c>
    </row>
    <row r="24" spans="1:54" ht="15">
      <c r="A24" s="210" t="s">
        <v>80</v>
      </c>
      <c r="B24" s="211">
        <v>0.5</v>
      </c>
      <c r="C24" s="211">
        <v>0</v>
      </c>
      <c r="D24" s="212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27" t="e">
        <f>IF(D24="",,VLOOKUP(D24,D$22:D23,1,0))</f>
        <v>#N/A</v>
      </c>
      <c r="F24" s="228">
        <f>($B24*$B$7+$C24*$C$7)/100</f>
        <v>0.4</v>
      </c>
      <c r="G24" s="21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29"/>
      <c r="M24" s="229"/>
      <c r="N24" s="229"/>
      <c r="O24" s="219"/>
      <c r="P24" s="21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20">
        <f>IF(ISTEXT(H24),"",(B24*$B$7/100)+(C24*$C$7/100))</f>
        <v>0.4</v>
      </c>
      <c r="R24" s="221">
        <f>IF(OR(ISTEXT(H24),Q24=0),"",IF(Q24&lt;0.1,1,IF(Q24&lt;1,2,IF(Q24&lt;10,3,IF(Q24&lt;50,4,IF(Q24&gt;=50,5,""))))))</f>
        <v>2</v>
      </c>
      <c r="S24" s="221">
        <f>IF(ISERROR(R24*I24),0,R24*I24)</f>
        <v>24</v>
      </c>
      <c r="T24" s="221">
        <f>IF(ISERROR(R24*I24*J24),0,R24*I24*J24)</f>
        <v>48</v>
      </c>
      <c r="U24" s="230">
        <f>IF(ISERROR(R24*J24),0,R24*J24)</f>
        <v>4</v>
      </c>
      <c r="V24" s="222">
        <f>IF(AND(A24="",F24=0),"",IF(F24=0,"Il manque le(s) % de rec. !",""))</f>
      </c>
      <c r="W24" s="223" t="s">
        <v>55</v>
      </c>
      <c r="Y24" s="224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25"/>
      <c r="AB24" s="226"/>
      <c r="AC24" s="226"/>
      <c r="BB24" s="8">
        <f>IF(A24="","",1)</f>
        <v>1</v>
      </c>
    </row>
    <row r="25" spans="1:54" ht="15">
      <c r="A25" s="210" t="s">
        <v>81</v>
      </c>
      <c r="B25" s="211">
        <v>0</v>
      </c>
      <c r="C25" s="211">
        <v>0.01</v>
      </c>
      <c r="D25" s="212" t="str">
        <f>IF(ISERROR(VLOOKUP($A25,'[1]liste reference'!$A$7:$D$904,2,0)),IF(ISERROR(VLOOKUP($A25,'[1]liste reference'!$B$7:$D$904,1,0)),"",VLOOKUP($A25,'[1]liste reference'!$B$7:$D$904,1,0)),VLOOKUP($A25,'[1]liste reference'!$A$7:$D$904,2,0))</f>
        <v>Oedogonium sp.</v>
      </c>
      <c r="E25" s="227" t="e">
        <f>IF(D25="",,VLOOKUP(D25,D$22:D24,1,0))</f>
        <v>#N/A</v>
      </c>
      <c r="F25" s="228">
        <f>($B25*$B$7+$C25*$C$7)/100</f>
        <v>0.002</v>
      </c>
      <c r="G25" s="21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6</v>
      </c>
      <c r="J25" s="216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Oedogonium sp.</v>
      </c>
      <c r="L25" s="229"/>
      <c r="M25" s="229"/>
      <c r="N25" s="229"/>
      <c r="O25" s="219"/>
      <c r="P25" s="21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1134</v>
      </c>
      <c r="Q25" s="220">
        <f>IF(ISTEXT(H25),"",(B25*$B$7/100)+(C25*$C$7/100))</f>
        <v>0.002</v>
      </c>
      <c r="R25" s="221">
        <f>IF(OR(ISTEXT(H25),Q25=0),"",IF(Q25&lt;0.1,1,IF(Q25&lt;1,2,IF(Q25&lt;10,3,IF(Q25&lt;50,4,IF(Q25&gt;=50,5,""))))))</f>
        <v>1</v>
      </c>
      <c r="S25" s="221">
        <f>IF(ISERROR(R25*I25),0,R25*I25)</f>
        <v>6</v>
      </c>
      <c r="T25" s="221">
        <f>IF(ISERROR(R25*I25*J25),0,R25*I25*J25)</f>
        <v>12</v>
      </c>
      <c r="U25" s="230">
        <f>IF(ISERROR(R25*J25),0,R25*J25)</f>
        <v>2</v>
      </c>
      <c r="V25" s="222">
        <f>IF(AND(A25="",F25=0),"",IF(F25=0,"Il manque le(s) % de rec. !",""))</f>
      </c>
      <c r="W25" s="223" t="s">
        <v>55</v>
      </c>
      <c r="Y25" s="224" t="str">
        <f>IF(A25="new.cod","NEWCOD",IF(AND((Z25=""),ISTEXT(A25)),A25,IF(Z25="","",INDEX('[1]liste reference'!$A$8:$A$904,Z25))))</f>
        <v>OEDSPX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55</v>
      </c>
      <c r="AA25" s="225"/>
      <c r="AB25" s="226"/>
      <c r="AC25" s="226"/>
      <c r="BB25" s="8">
        <f>IF(A25="","",1)</f>
        <v>1</v>
      </c>
    </row>
    <row r="26" spans="1:54" ht="15">
      <c r="A26" s="210" t="s">
        <v>16</v>
      </c>
      <c r="B26" s="211">
        <v>1.01</v>
      </c>
      <c r="C26" s="211">
        <v>1</v>
      </c>
      <c r="D26" s="212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27" t="e">
        <f>IF(D26="",,VLOOKUP(D26,D$22:D25,1,0))</f>
        <v>#N/A</v>
      </c>
      <c r="F26" s="228">
        <f>($B26*$B$7+$C26*$C$7)/100</f>
        <v>1.008</v>
      </c>
      <c r="G26" s="21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6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6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29"/>
      <c r="M26" s="229"/>
      <c r="N26" s="229"/>
      <c r="O26" s="219"/>
      <c r="P26" s="21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20">
        <f>IF(ISTEXT(H26),"",(B26*$B$7/100)+(C26*$C$7/100))</f>
        <v>1.008</v>
      </c>
      <c r="R26" s="221">
        <f>IF(OR(ISTEXT(H26),Q26=0),"",IF(Q26&lt;0.1,1,IF(Q26&lt;1,2,IF(Q26&lt;10,3,IF(Q26&lt;50,4,IF(Q26&gt;=50,5,""))))))</f>
        <v>3</v>
      </c>
      <c r="S26" s="221">
        <f>IF(ISERROR(R26*I26),0,R26*I26)</f>
        <v>39</v>
      </c>
      <c r="T26" s="221">
        <f>IF(ISERROR(R26*I26*J26),0,R26*I26*J26)</f>
        <v>78</v>
      </c>
      <c r="U26" s="230">
        <f>IF(ISERROR(R26*J26),0,R26*J26)</f>
        <v>6</v>
      </c>
      <c r="V26" s="222">
        <f>IF(AND(A26="",F26=0),"",IF(F26=0,"Il manque le(s) % de rec. !",""))</f>
      </c>
      <c r="W26" s="223" t="s">
        <v>55</v>
      </c>
      <c r="Y26" s="224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25"/>
      <c r="AB26" s="226"/>
      <c r="AC26" s="226"/>
      <c r="BB26" s="8">
        <f>IF(A26="","",1)</f>
        <v>1</v>
      </c>
    </row>
    <row r="27" spans="1:54" ht="15">
      <c r="A27" s="210" t="s">
        <v>82</v>
      </c>
      <c r="B27" s="211">
        <v>0</v>
      </c>
      <c r="C27" s="211">
        <v>2.16</v>
      </c>
      <c r="D27" s="212" t="str">
        <f>IF(ISERROR(VLOOKUP($A27,'[1]liste reference'!$A$7:$D$904,2,0)),IF(ISERROR(VLOOKUP($A27,'[1]liste reference'!$B$7:$D$904,1,0)),"",VLOOKUP($A27,'[1]liste reference'!$B$7:$D$904,1,0)),VLOOKUP($A27,'[1]liste reference'!$A$7:$D$904,2,0))</f>
        <v>Spirogyra sp.</v>
      </c>
      <c r="E27" s="227" t="e">
        <f>IF(D27="",,VLOOKUP(D27,D$22:D26,1,0))</f>
        <v>#N/A</v>
      </c>
      <c r="F27" s="228">
        <f>($B27*$B$7+$C27*$C$7)/100</f>
        <v>0.43200000000000005</v>
      </c>
      <c r="G27" s="21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6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Spirogyra sp.</v>
      </c>
      <c r="L27" s="229"/>
      <c r="M27" s="229"/>
      <c r="N27" s="229"/>
      <c r="O27" s="219"/>
      <c r="P27" s="21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1147</v>
      </c>
      <c r="Q27" s="220">
        <f>IF(ISTEXT(H27),"",(B27*$B$7/100)+(C27*$C$7/100))</f>
        <v>0.43200000000000005</v>
      </c>
      <c r="R27" s="221">
        <f>IF(OR(ISTEXT(H27),Q27=0),"",IF(Q27&lt;0.1,1,IF(Q27&lt;1,2,IF(Q27&lt;10,3,IF(Q27&lt;50,4,IF(Q27&gt;=50,5,""))))))</f>
        <v>2</v>
      </c>
      <c r="S27" s="221">
        <f>IF(ISERROR(R27*I27),0,R27*I27)</f>
        <v>20</v>
      </c>
      <c r="T27" s="221">
        <f>IF(ISERROR(R27*I27*J27),0,R27*I27*J27)</f>
        <v>20</v>
      </c>
      <c r="U27" s="230">
        <f>IF(ISERROR(R27*J27),0,R27*J27)</f>
        <v>2</v>
      </c>
      <c r="V27" s="222">
        <f>IF(AND(A27="",F27=0),"",IF(F27=0,"Il manque le(s) % de rec. !",""))</f>
      </c>
      <c r="W27" s="231" t="s">
        <v>55</v>
      </c>
      <c r="Y27" s="224" t="str">
        <f>IF(A27="new.cod","NEWCOD",IF(AND((Z27=""),ISTEXT(A27)),A27,IF(Z27="","",INDEX('[1]liste reference'!$A$8:$A$904,Z27))))</f>
        <v>SPISPX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69</v>
      </c>
      <c r="AA27" s="225"/>
      <c r="AB27" s="226"/>
      <c r="AC27" s="226"/>
      <c r="BB27" s="8">
        <f>IF(A27="","",1)</f>
        <v>1</v>
      </c>
    </row>
    <row r="28" spans="1:54" ht="15">
      <c r="A28" s="210" t="s">
        <v>83</v>
      </c>
      <c r="B28" s="211">
        <v>0</v>
      </c>
      <c r="C28" s="211">
        <v>0.01</v>
      </c>
      <c r="D28" s="212" t="str">
        <f>IF(ISERROR(VLOOKUP($A28,'[1]liste reference'!$A$7:$D$904,2,0)),IF(ISERROR(VLOOKUP($A28,'[1]liste reference'!$B$7:$D$904,1,0)),"",VLOOKUP($A28,'[1]liste reference'!$B$7:$D$904,1,0)),VLOOKUP($A28,'[1]liste reference'!$A$7:$D$904,2,0))</f>
        <v>Ulothrix sp.</v>
      </c>
      <c r="E28" s="227" t="e">
        <f>IF(D28="",,VLOOKUP(D28,D$22:D27,1,0))</f>
        <v>#N/A</v>
      </c>
      <c r="F28" s="228">
        <f>($B28*$B$7+$C28*$C$7)/100</f>
        <v>0.002</v>
      </c>
      <c r="G28" s="21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5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6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7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Ulothrix sp.</v>
      </c>
      <c r="L28" s="229"/>
      <c r="M28" s="229"/>
      <c r="N28" s="229"/>
      <c r="O28" s="219"/>
      <c r="P28" s="21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1142</v>
      </c>
      <c r="Q28" s="220">
        <f>IF(ISTEXT(H28),"",(B28*$B$7/100)+(C28*$C$7/100))</f>
        <v>0.002</v>
      </c>
      <c r="R28" s="221">
        <f>IF(OR(ISTEXT(H28),Q28=0),"",IF(Q28&lt;0.1,1,IF(Q28&lt;1,2,IF(Q28&lt;10,3,IF(Q28&lt;50,4,IF(Q28&gt;=50,5,""))))))</f>
        <v>1</v>
      </c>
      <c r="S28" s="221">
        <f>IF(ISERROR(R28*I28),0,R28*I28)</f>
        <v>10</v>
      </c>
      <c r="T28" s="221">
        <f>IF(ISERROR(R28*I28*J28),0,R28*I28*J28)</f>
        <v>10</v>
      </c>
      <c r="U28" s="230">
        <f>IF(ISERROR(R28*J28),0,R28*J28)</f>
        <v>1</v>
      </c>
      <c r="V28" s="222">
        <f>IF(AND(A28="",F28=0),"",IF(F28=0,"Il manque le(s) % de rec. !",""))</f>
      </c>
      <c r="W28" s="223" t="s">
        <v>55</v>
      </c>
      <c r="Y28" s="224" t="str">
        <f>IF(A28="new.cod","NEWCOD",IF(AND((Z28=""),ISTEXT(A28)),A28,IF(Z28="","",INDEX('[1]liste reference'!$A$8:$A$904,Z28))))</f>
        <v>ULOSPX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81</v>
      </c>
      <c r="AA28" s="225"/>
      <c r="AB28" s="226"/>
      <c r="AC28" s="226"/>
      <c r="BB28" s="8">
        <f>IF(A28="","",1)</f>
        <v>1</v>
      </c>
    </row>
    <row r="29" spans="1:54" ht="15">
      <c r="A29" s="232" t="s">
        <v>84</v>
      </c>
      <c r="B29" s="211">
        <v>0.20000000000000004</v>
      </c>
      <c r="C29" s="211">
        <v>0</v>
      </c>
      <c r="D29" s="212" t="str">
        <f>IF(ISERROR(VLOOKUP($A29,'[1]liste reference'!$A$7:$D$904,2,0)),IF(ISERROR(VLOOKUP($A29,'[1]liste reference'!$B$7:$D$904,1,0)),"",VLOOKUP($A29,'[1]liste reference'!$B$7:$D$904,1,0)),VLOOKUP($A29,'[1]liste reference'!$A$7:$D$904,2,0))</f>
        <v>Cinclidotus danubicus</v>
      </c>
      <c r="E29" s="227" t="e">
        <f>IF(D29="",,VLOOKUP(D29,D$22:D28,1,0))</f>
        <v>#N/A</v>
      </c>
      <c r="F29" s="228">
        <f>($B29*$B$7+$C29*$C$7)/100</f>
        <v>0.16000000000000003</v>
      </c>
      <c r="G29" s="21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5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6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13</v>
      </c>
      <c r="J29" s="216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17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Cinclidotus danubicus</v>
      </c>
      <c r="L29" s="229"/>
      <c r="M29" s="229"/>
      <c r="N29" s="229"/>
      <c r="O29" s="219"/>
      <c r="P29" s="21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1319</v>
      </c>
      <c r="Q29" s="220">
        <f>IF(ISTEXT(H29),"",(B29*$B$7/100)+(C29*$C$7/100))</f>
        <v>0.16000000000000003</v>
      </c>
      <c r="R29" s="221">
        <f>IF(OR(ISTEXT(H29),Q29=0),"",IF(Q29&lt;0.1,1,IF(Q29&lt;1,2,IF(Q29&lt;10,3,IF(Q29&lt;50,4,IF(Q29&gt;=50,5,""))))))</f>
        <v>2</v>
      </c>
      <c r="S29" s="221">
        <f>IF(ISERROR(R29*I29),0,R29*I29)</f>
        <v>26</v>
      </c>
      <c r="T29" s="221">
        <f>IF(ISERROR(R29*I29*J29),0,R29*I29*J29)</f>
        <v>78</v>
      </c>
      <c r="U29" s="230">
        <f>IF(ISERROR(R29*J29),0,R29*J29)</f>
        <v>6</v>
      </c>
      <c r="V29" s="222">
        <f>IF(AND(A29="",F29=0),"",IF(F29=0,"Il manque le(s) % de rec. !",""))</f>
      </c>
      <c r="W29" s="223" t="s">
        <v>55</v>
      </c>
      <c r="X29" s="223"/>
      <c r="Y29" s="224" t="str">
        <f>IF(A29="new.cod","NEWCOD",IF(AND((Z29=""),ISTEXT(A29)),A29,IF(Z29="","",INDEX('[1]liste reference'!$A$8:$A$904,Z29))))</f>
        <v>CINDAN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171</v>
      </c>
      <c r="AA29" s="225"/>
      <c r="AB29" s="226"/>
      <c r="AC29" s="226"/>
      <c r="BB29" s="8">
        <f>IF(A29="","",1)</f>
        <v>1</v>
      </c>
    </row>
    <row r="30" spans="1:54" ht="15">
      <c r="A30" s="232" t="s">
        <v>85</v>
      </c>
      <c r="B30" s="211">
        <v>0.05000000000000001</v>
      </c>
      <c r="C30" s="211">
        <v>0.01</v>
      </c>
      <c r="D30" s="212" t="str">
        <f>IF(ISERROR(VLOOKUP($A30,'[1]liste reference'!$A$7:$D$904,2,0)),IF(ISERROR(VLOOKUP($A30,'[1]liste reference'!$B$7:$D$904,1,0)),"",VLOOKUP($A30,'[1]liste reference'!$B$7:$D$904,1,0)),VLOOKUP($A30,'[1]liste reference'!$A$7:$D$904,2,0))</f>
        <v>Cinclidotus riparius</v>
      </c>
      <c r="E30" s="227" t="e">
        <f>IF(D30="",,VLOOKUP(D30,D$22:D29,1,0))</f>
        <v>#N/A</v>
      </c>
      <c r="F30" s="228">
        <f>($B30*$B$7+$C30*$C$7)/100</f>
        <v>0.04200000000000001</v>
      </c>
      <c r="G30" s="214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5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6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13</v>
      </c>
      <c r="J30" s="216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7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Cinclidotus riparius</v>
      </c>
      <c r="L30" s="229"/>
      <c r="M30" s="229"/>
      <c r="N30" s="229"/>
      <c r="O30" s="219"/>
      <c r="P30" s="21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1321</v>
      </c>
      <c r="Q30" s="220">
        <f>IF(ISTEXT(H30),"",(B30*$B$7/100)+(C30*$C$7/100))</f>
        <v>0.04200000000000001</v>
      </c>
      <c r="R30" s="221">
        <f>IF(OR(ISTEXT(H30),Q30=0),"",IF(Q30&lt;0.1,1,IF(Q30&lt;1,2,IF(Q30&lt;10,3,IF(Q30&lt;50,4,IF(Q30&gt;=50,5,""))))))</f>
        <v>1</v>
      </c>
      <c r="S30" s="221">
        <f>IF(ISERROR(R30*I30),0,R30*I30)</f>
        <v>13</v>
      </c>
      <c r="T30" s="221">
        <f>IF(ISERROR(R30*I30*J30),0,R30*I30*J30)</f>
        <v>26</v>
      </c>
      <c r="U30" s="230">
        <f>IF(ISERROR(R30*J30),0,R30*J30)</f>
        <v>2</v>
      </c>
      <c r="V30" s="222">
        <f>IF(AND(A30="",F30=0),"",IF(F30=0,"Il manque le(s) % de rec. !",""))</f>
      </c>
      <c r="W30" s="223" t="s">
        <v>55</v>
      </c>
      <c r="Y30" s="224" t="str">
        <f>IF(A30="new.cod","NEWCOD",IF(AND((Z30=""),ISTEXT(A30)),A30,IF(Z30="","",INDEX('[1]liste reference'!$A$8:$A$904,Z30))))</f>
        <v>CINRIP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174</v>
      </c>
      <c r="AA30" s="225"/>
      <c r="AB30" s="226"/>
      <c r="AC30" s="226"/>
      <c r="BB30" s="8">
        <f>IF(A30="","",1)</f>
        <v>1</v>
      </c>
    </row>
    <row r="31" spans="1:54" ht="15">
      <c r="A31" s="233" t="s">
        <v>86</v>
      </c>
      <c r="B31" s="211">
        <v>0</v>
      </c>
      <c r="C31" s="211">
        <v>0.01</v>
      </c>
      <c r="D31" s="212" t="str">
        <f>IF(ISERROR(VLOOKUP($A31,'[1]liste reference'!$A$7:$D$904,2,0)),IF(ISERROR(VLOOKUP($A31,'[1]liste reference'!$B$7:$D$904,1,0)),"",VLOOKUP($A31,'[1]liste reference'!$B$7:$D$904,1,0)),VLOOKUP($A31,'[1]liste reference'!$A$7:$D$904,2,0))</f>
        <v>Myriophyllum spicatum</v>
      </c>
      <c r="E31" s="227" t="e">
        <f>IF(D31="",,VLOOKUP(D31,D$22:D30,1,0))</f>
        <v>#N/A</v>
      </c>
      <c r="F31" s="228">
        <f>($B31*$B$7+$C31*$C$7)/100</f>
        <v>0.002</v>
      </c>
      <c r="G31" s="214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PHy</v>
      </c>
      <c r="H31" s="215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7</v>
      </c>
      <c r="I31" s="216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8</v>
      </c>
      <c r="J31" s="216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17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Myriophyllum spicatum</v>
      </c>
      <c r="L31" s="229"/>
      <c r="M31" s="229"/>
      <c r="N31" s="229"/>
      <c r="O31" s="219"/>
      <c r="P31" s="21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1778</v>
      </c>
      <c r="Q31" s="220">
        <f>IF(ISTEXT(H31),"",(B31*$B$7/100)+(C31*$C$7/100))</f>
        <v>0.002</v>
      </c>
      <c r="R31" s="221">
        <f>IF(OR(ISTEXT(H31),Q31=0),"",IF(Q31&lt;0.1,1,IF(Q31&lt;1,2,IF(Q31&lt;10,3,IF(Q31&lt;50,4,IF(Q31&gt;=50,5,""))))))</f>
        <v>1</v>
      </c>
      <c r="S31" s="221">
        <f>IF(ISERROR(R31*I31),0,R31*I31)</f>
        <v>8</v>
      </c>
      <c r="T31" s="221">
        <f>IF(ISERROR(R31*I31*J31),0,R31*I31*J31)</f>
        <v>16</v>
      </c>
      <c r="U31" s="230">
        <f>IF(ISERROR(R31*J31),0,R31*J31)</f>
        <v>2</v>
      </c>
      <c r="V31" s="222">
        <f>IF(AND(A31="",F31=0),"",IF(F31=0,"Il manque le(s) % de rec. !",""))</f>
      </c>
      <c r="W31" s="223" t="s">
        <v>55</v>
      </c>
      <c r="Y31" s="224" t="str">
        <f>IF(A31="new.cod","NEWCOD",IF(AND((Z31=""),ISTEXT(A31)),A31,IF(Z31="","",INDEX('[1]liste reference'!$A$8:$A$904,Z31))))</f>
        <v>MYRSPI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373</v>
      </c>
      <c r="AA31" s="225"/>
      <c r="AB31" s="226"/>
      <c r="AC31" s="226"/>
      <c r="BB31" s="8">
        <f>IF(A31="","",1)</f>
        <v>1</v>
      </c>
    </row>
    <row r="32" spans="1:54" ht="15">
      <c r="A32" s="233" t="s">
        <v>87</v>
      </c>
      <c r="B32" s="211">
        <v>0</v>
      </c>
      <c r="C32" s="211">
        <v>0.01</v>
      </c>
      <c r="D32" s="212" t="str">
        <f>IF(ISERROR(VLOOKUP($A32,'[1]liste reference'!$A$7:$D$904,2,0)),IF(ISERROR(VLOOKUP($A32,'[1]liste reference'!$B$7:$D$904,1,0)),"",VLOOKUP($A32,'[1]liste reference'!$B$7:$D$904,1,0)),VLOOKUP($A32,'[1]liste reference'!$A$7:$D$904,2,0))</f>
        <v>Potamogeton crispus</v>
      </c>
      <c r="E32" s="227" t="e">
        <f>IF(D32="",,VLOOKUP(D32,D$22:D31,1,0))</f>
        <v>#N/A</v>
      </c>
      <c r="F32" s="228">
        <f>($B32*$B$7+$C32*$C$7)/100</f>
        <v>0.002</v>
      </c>
      <c r="G32" s="214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PHy</v>
      </c>
      <c r="H32" s="215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7</v>
      </c>
      <c r="I32" s="216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7</v>
      </c>
      <c r="J32" s="216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7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Potamogeton crispus</v>
      </c>
      <c r="L32" s="229"/>
      <c r="M32" s="229"/>
      <c r="N32" s="229"/>
      <c r="O32" s="219"/>
      <c r="P32" s="21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1645</v>
      </c>
      <c r="Q32" s="220">
        <f>IF(ISTEXT(H32),"",(B32*$B$7/100)+(C32*$C$7/100))</f>
        <v>0.002</v>
      </c>
      <c r="R32" s="221">
        <f>IF(OR(ISTEXT(H32),Q32=0),"",IF(Q32&lt;0.1,1,IF(Q32&lt;1,2,IF(Q32&lt;10,3,IF(Q32&lt;50,4,IF(Q32&gt;=50,5,""))))))</f>
        <v>1</v>
      </c>
      <c r="S32" s="221">
        <f>IF(ISERROR(R32*I32),0,R32*I32)</f>
        <v>7</v>
      </c>
      <c r="T32" s="221">
        <f>IF(ISERROR(R32*I32*J32),0,R32*I32*J32)</f>
        <v>14</v>
      </c>
      <c r="U32" s="230">
        <f>IF(ISERROR(R32*J32),0,R32*J32)</f>
        <v>2</v>
      </c>
      <c r="V32" s="222">
        <f>IF(AND(A32="",F32=0),"",IF(F32=0,"Il manque le(s) % de rec. !",""))</f>
      </c>
      <c r="W32" s="223" t="s">
        <v>55</v>
      </c>
      <c r="Y32" s="224" t="str">
        <f>IF(A32="new.cod","NEWCOD",IF(AND((Z32=""),ISTEXT(A32)),A32,IF(Z32="","",INDEX('[1]liste reference'!$A$8:$A$904,Z32))))</f>
        <v>POTCRI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409</v>
      </c>
      <c r="AA32" s="225"/>
      <c r="AB32" s="226"/>
      <c r="AC32" s="226"/>
      <c r="BB32" s="8">
        <f>IF(A32="","",1)</f>
        <v>1</v>
      </c>
    </row>
    <row r="33" spans="1:54" ht="15">
      <c r="A33" s="233" t="s">
        <v>88</v>
      </c>
      <c r="B33" s="211">
        <v>0.02</v>
      </c>
      <c r="C33" s="211">
        <v>0.01</v>
      </c>
      <c r="D33" s="212" t="str">
        <f>IF(ISERROR(VLOOKUP($A33,'[1]liste reference'!$A$7:$D$904,2,0)),IF(ISERROR(VLOOKUP($A33,'[1]liste reference'!$B$7:$D$904,1,0)),"",VLOOKUP($A33,'[1]liste reference'!$B$7:$D$904,1,0)),VLOOKUP($A33,'[1]liste reference'!$A$7:$D$904,2,0))</f>
        <v>Ranunculus penicillatus subsp. pseudofluitans</v>
      </c>
      <c r="E33" s="227" t="e">
        <f>IF(D33="",,VLOOKUP(D33,D$22:D32,1,0))</f>
        <v>#N/A</v>
      </c>
      <c r="F33" s="228">
        <f>($B33*$B$7+$C33*$C$7)/100</f>
        <v>0.018000000000000002</v>
      </c>
      <c r="G33" s="214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PHy</v>
      </c>
      <c r="H33" s="215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7</v>
      </c>
      <c r="I33" s="216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12</v>
      </c>
      <c r="J33" s="216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2</v>
      </c>
      <c r="K33" s="217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Ranunculus penicillatus subsp. pseudofluitans</v>
      </c>
      <c r="L33" s="229"/>
      <c r="M33" s="229"/>
      <c r="N33" s="229"/>
      <c r="O33" s="219"/>
      <c r="P33" s="21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19974</v>
      </c>
      <c r="Q33" s="220">
        <f>IF(ISTEXT(H33),"",(B33*$B$7/100)+(C33*$C$7/100))</f>
        <v>0.018000000000000002</v>
      </c>
      <c r="R33" s="221">
        <f>IF(OR(ISTEXT(H33),Q33=0),"",IF(Q33&lt;0.1,1,IF(Q33&lt;1,2,IF(Q33&lt;10,3,IF(Q33&lt;50,4,IF(Q33&gt;=50,5,""))))))</f>
        <v>1</v>
      </c>
      <c r="S33" s="221">
        <f>IF(ISERROR(R33*I33),0,R33*I33)</f>
        <v>12</v>
      </c>
      <c r="T33" s="221">
        <f>IF(ISERROR(R33*I33*J33),0,R33*I33*J33)</f>
        <v>24</v>
      </c>
      <c r="U33" s="230">
        <f>IF(ISERROR(R33*J33),0,R33*J33)</f>
        <v>2</v>
      </c>
      <c r="V33" s="222">
        <f>IF(AND(A33="",F33=0),"",IF(F33=0,"Il manque le(s) % de rec. !",""))</f>
      </c>
      <c r="W33" s="223" t="s">
        <v>55</v>
      </c>
      <c r="Y33" s="224" t="str">
        <f>IF(A33="new.cod","NEWCOD",IF(AND((Z33=""),ISTEXT(A33)),A33,IF(Z33="","",INDEX('[1]liste reference'!$A$8:$A$904,Z33))))</f>
        <v>RANPES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464</v>
      </c>
      <c r="AA33" s="225"/>
      <c r="AB33" s="226"/>
      <c r="AC33" s="226"/>
      <c r="BB33" s="8">
        <f>IF(A33="","",1)</f>
        <v>1</v>
      </c>
    </row>
    <row r="34" spans="1:54" ht="15">
      <c r="A34" s="234" t="s">
        <v>89</v>
      </c>
      <c r="B34" s="235">
        <v>0</v>
      </c>
      <c r="C34" s="211">
        <v>0.01</v>
      </c>
      <c r="D34" s="212" t="str">
        <f>IF(ISERROR(VLOOKUP($A34,'[1]liste reference'!$A$7:$D$904,2,0)),IF(ISERROR(VLOOKUP($A34,'[1]liste reference'!$B$7:$D$904,1,0)),"",VLOOKUP($A34,'[1]liste reference'!$B$7:$D$904,1,0)),VLOOKUP($A34,'[1]liste reference'!$A$7:$D$904,2,0))</f>
        <v>Glyceria fluitans</v>
      </c>
      <c r="E34" s="227" t="e">
        <f>IF(D34="",,VLOOKUP(D34,D$22:D33,1,0))</f>
        <v>#N/A</v>
      </c>
      <c r="F34" s="236">
        <f>($B34*$B$7+$C34*$C$7)/100</f>
        <v>0.002</v>
      </c>
      <c r="G34" s="214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PHe</v>
      </c>
      <c r="H34" s="215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8</v>
      </c>
      <c r="I34" s="216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14</v>
      </c>
      <c r="J34" s="216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2</v>
      </c>
      <c r="K34" s="217" t="str">
        <f>IF(A34="NEWCOD",IF(AB37="","Remplir le champs 'Nouveau taxa' svp.",$AB37),IF(ISTEXT($E34),"DEJA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Glyceria fluitans</v>
      </c>
      <c r="L34" s="229"/>
      <c r="M34" s="229"/>
      <c r="N34" s="229"/>
      <c r="O34" s="219"/>
      <c r="P34" s="21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1564</v>
      </c>
      <c r="Q34" s="220">
        <f>IF(ISTEXT(H34),"",(B34*$B$7/100)+(C34*$C$7/100))</f>
        <v>0.002</v>
      </c>
      <c r="R34" s="221">
        <f>IF(OR(ISTEXT(H34),Q34=0),"",IF(Q34&lt;0.1,1,IF(Q34&lt;1,2,IF(Q34&lt;10,3,IF(Q34&lt;50,4,IF(Q34&gt;=50,5,""))))))</f>
        <v>1</v>
      </c>
      <c r="S34" s="221">
        <f>IF(ISERROR(R34*I34),0,R34*I34)</f>
        <v>14</v>
      </c>
      <c r="T34" s="221">
        <f>IF(ISERROR(R34*I34*J34),0,R34*I34*J34)</f>
        <v>28</v>
      </c>
      <c r="U34" s="230">
        <f>IF(ISERROR(R34*J34),0,R34*J34)</f>
        <v>2</v>
      </c>
      <c r="V34" s="222">
        <f>IF(AND(A34="",F34=0),"",IF(F34=0,"Il manque le(s) % de rec. !",""))</f>
      </c>
      <c r="W34" s="223" t="s">
        <v>55</v>
      </c>
      <c r="Y34" s="224" t="str">
        <f>IF(A34="new.cod","NEWCOD",IF(AND((Z34=""),ISTEXT(A34)),A34,IF(Z34="","",INDEX('[1]liste reference'!$A$8:$A$904,Z34))))</f>
        <v>GLYFLU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575</v>
      </c>
      <c r="AA34" s="225"/>
      <c r="AB34" s="237"/>
      <c r="AC34" s="226"/>
      <c r="BB34" s="8">
        <f>IF(A34="","",1)</f>
        <v>1</v>
      </c>
    </row>
    <row r="35" spans="1:54" ht="12.75">
      <c r="A35" s="238" t="s">
        <v>90</v>
      </c>
      <c r="B35" s="239">
        <v>0</v>
      </c>
      <c r="C35" s="240">
        <v>0.01</v>
      </c>
      <c r="D35" s="212" t="str">
        <f>IF(ISERROR(VLOOKUP($A35,'[1]liste reference'!$A$7:$D$904,2,0)),IF(ISERROR(VLOOKUP($A35,'[1]liste reference'!$B$7:$D$904,1,0)),"",VLOOKUP($A35,'[1]liste reference'!$B$7:$D$904,1,0)),VLOOKUP($A35,'[1]liste reference'!$A$7:$D$904,2,0))</f>
        <v>Phalaris arundinacea</v>
      </c>
      <c r="E35" s="227" t="e">
        <f>IF(D35="",,VLOOKUP(D35,D$22:D34,1,0))</f>
        <v>#N/A</v>
      </c>
      <c r="F35" s="236">
        <f>($B35*$B$7+$C35*$C$7)/100</f>
        <v>0.002</v>
      </c>
      <c r="G35" s="214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PHe</v>
      </c>
      <c r="H35" s="215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8</v>
      </c>
      <c r="I35" s="216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10</v>
      </c>
      <c r="J35" s="216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1</v>
      </c>
      <c r="K35" s="217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Phalaris arundinacea</v>
      </c>
      <c r="L35" s="229"/>
      <c r="M35" s="229"/>
      <c r="N35" s="229"/>
      <c r="O35" s="219"/>
      <c r="P35" s="21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1577</v>
      </c>
      <c r="Q35" s="220">
        <f>IF(ISTEXT(H35),"",(B35*$B$7/100)+(C35*$C$7/100))</f>
        <v>0.002</v>
      </c>
      <c r="R35" s="221">
        <f>IF(OR(ISTEXT(H35),Q35=0),"",IF(Q35&lt;0.1,1,IF(Q35&lt;1,2,IF(Q35&lt;10,3,IF(Q35&lt;50,4,IF(Q35&gt;=50,5,""))))))</f>
        <v>1</v>
      </c>
      <c r="S35" s="221">
        <f>IF(ISERROR(R35*I35),0,R35*I35)</f>
        <v>10</v>
      </c>
      <c r="T35" s="221">
        <f>IF(ISERROR(R35*I35*J35),0,R35*I35*J35)</f>
        <v>10</v>
      </c>
      <c r="U35" s="230">
        <f>IF(ISERROR(R35*J35),0,R35*J35)</f>
        <v>1</v>
      </c>
      <c r="V35" s="222">
        <f>IF(AND(A35="",F35=0),"",IF(F35=0,"Il manque le(s) % de rec. !",""))</f>
      </c>
      <c r="W35" s="223" t="s">
        <v>55</v>
      </c>
      <c r="Y35" s="224" t="str">
        <f>IF(A35="new.cod","NEWCOD",IF(AND((Z35=""),ISTEXT(A35)),A35,IF(Z35="","",INDEX('[1]liste reference'!$A$8:$A$904,Z35))))</f>
        <v>PHAARU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634</v>
      </c>
      <c r="AA35" s="225"/>
      <c r="AB35" s="226"/>
      <c r="AC35" s="226"/>
      <c r="BB35" s="8">
        <f>IF(A35="","",1)</f>
        <v>1</v>
      </c>
    </row>
    <row r="36" spans="1:54" ht="12.75">
      <c r="A36" s="238" t="s">
        <v>91</v>
      </c>
      <c r="B36" s="239">
        <v>0</v>
      </c>
      <c r="C36" s="240">
        <v>0.01</v>
      </c>
      <c r="D36" s="212" t="str">
        <f>IF(ISERROR(VLOOKUP($A36,'[1]liste reference'!$A$7:$D$904,2,0)),IF(ISERROR(VLOOKUP($A36,'[1]liste reference'!$B$7:$D$904,1,0)),"",VLOOKUP($A36,'[1]liste reference'!$B$7:$D$904,1,0)),VLOOKUP($A36,'[1]liste reference'!$A$7:$D$904,2,0))</f>
        <v>Veronica anagallis-aquatica</v>
      </c>
      <c r="E36" s="227" t="e">
        <f>IF(D36="",,VLOOKUP(D36,D$22:D35,1,0))</f>
        <v>#N/A</v>
      </c>
      <c r="F36" s="236">
        <f>($B36*$B$7+$C36*$C$7)/100</f>
        <v>0.002</v>
      </c>
      <c r="G36" s="214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PHe</v>
      </c>
      <c r="H36" s="215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8</v>
      </c>
      <c r="I36" s="216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11</v>
      </c>
      <c r="J36" s="216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2</v>
      </c>
      <c r="K36" s="217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Veronica anagallis-aquatica</v>
      </c>
      <c r="L36" s="229"/>
      <c r="M36" s="229"/>
      <c r="N36" s="229"/>
      <c r="O36" s="219"/>
      <c r="P36" s="21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1955</v>
      </c>
      <c r="Q36" s="220">
        <f>IF(ISTEXT(H36),"",(B36*$B$7/100)+(C36*$C$7/100))</f>
        <v>0.002</v>
      </c>
      <c r="R36" s="221">
        <f>IF(OR(ISTEXT(H36),Q36=0),"",IF(Q36&lt;0.1,1,IF(Q36&lt;1,2,IF(Q36&lt;10,3,IF(Q36&lt;50,4,IF(Q36&gt;=50,5,""))))))</f>
        <v>1</v>
      </c>
      <c r="S36" s="221">
        <f>IF(ISERROR(R36*I36),0,R36*I36)</f>
        <v>11</v>
      </c>
      <c r="T36" s="221">
        <f>IF(ISERROR(R36*I36*J36),0,R36*I36*J36)</f>
        <v>22</v>
      </c>
      <c r="U36" s="230">
        <f>IF(ISERROR(R36*J36),0,R36*J36)</f>
        <v>2</v>
      </c>
      <c r="V36" s="222">
        <f>IF(AND(A36="",F36=0),"",IF(F36=0,"Il manque le(s) % de rec. !",""))</f>
      </c>
      <c r="W36" s="223" t="s">
        <v>55</v>
      </c>
      <c r="Y36" s="224" t="str">
        <f>IF(A36="new.cod","NEWCOD",IF(AND((Z36=""),ISTEXT(A36)),A36,IF(Z36="","",INDEX('[1]liste reference'!$A$8:$A$904,Z36))))</f>
        <v>VERANA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682</v>
      </c>
      <c r="AA36" s="225"/>
      <c r="AB36" s="226"/>
      <c r="AC36" s="226"/>
      <c r="BB36" s="8">
        <f>IF(A36="","",1)</f>
        <v>1</v>
      </c>
    </row>
    <row r="37" spans="1:54" ht="12.75">
      <c r="A37" s="238" t="s">
        <v>92</v>
      </c>
      <c r="B37" s="239">
        <v>2.25</v>
      </c>
      <c r="C37" s="240">
        <v>9</v>
      </c>
      <c r="D37" s="21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7">
        <f>IF(D37="",,VLOOKUP(D37,D$22:D36,1,0))</f>
        <v>0</v>
      </c>
      <c r="F37" s="236">
        <f>($B37*$B$7+$C37*$C$7)/100</f>
        <v>3.6</v>
      </c>
      <c r="G37" s="214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    -</v>
      </c>
      <c r="H37" s="21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7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Leptolyngbia sp.</v>
      </c>
      <c r="L37" s="229"/>
      <c r="M37" s="229"/>
      <c r="N37" s="229"/>
      <c r="O37" s="219"/>
      <c r="P37" s="219" t="str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No</v>
      </c>
      <c r="Q37" s="220">
        <f>IF(ISTEXT(H37),"",(B37*$B$7/100)+(C37*$C$7/100))</f>
      </c>
      <c r="R37" s="221">
        <f>IF(OR(ISTEXT(H37),Q37=0),"",IF(Q37&lt;0.1,1,IF(Q37&lt;1,2,IF(Q37&lt;10,3,IF(Q37&lt;50,4,IF(Q37&gt;=50,5,""))))))</f>
      </c>
      <c r="S37" s="221">
        <f>IF(ISERROR(R37*I37),0,R37*I37)</f>
        <v>0</v>
      </c>
      <c r="T37" s="221">
        <f>IF(ISERROR(R37*I37*J37),0,R37*I37*J37)</f>
        <v>0</v>
      </c>
      <c r="U37" s="230">
        <f>IF(ISERROR(R37*J37),0,R37*J37)</f>
        <v>0</v>
      </c>
      <c r="V37" s="222">
        <f>IF(AND(A37="",F37=0),"",IF(F37=0,"Il manque le(s) % de rec. !",""))</f>
      </c>
      <c r="W37" s="223" t="s">
        <v>55</v>
      </c>
      <c r="Y37" s="224" t="str">
        <f>IF(A37="new.cod","NEWCOD",IF(AND((Z37=""),ISTEXT(A37)),A37,IF(Z37="","",INDEX('[1]liste reference'!$A$8:$A$904,Z37))))</f>
        <v>newcod</v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5"/>
      <c r="AB37" s="226" t="s">
        <v>93</v>
      </c>
      <c r="AC37" s="226"/>
      <c r="BB37" s="8">
        <f>IF(A37="","",1)</f>
        <v>1</v>
      </c>
    </row>
    <row r="38" spans="1:54" ht="12.75">
      <c r="A38" s="238" t="s">
        <v>55</v>
      </c>
      <c r="B38" s="239"/>
      <c r="C38" s="240"/>
      <c r="D38" s="21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7">
        <f>IF(D38="",,VLOOKUP(D38,D$22:D37,1,0))</f>
        <v>0</v>
      </c>
      <c r="F38" s="236">
        <f>($B38*$B$7+$C38*$C$7)/100</f>
        <v>0</v>
      </c>
      <c r="G38" s="21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7">
        <f>IF(A38="NEWCOD",IF(#REF!="","Remplir le champs 'Nouveau taxa' svp.",#REF!),IF(ISTEXT($E38),"DEJA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9"/>
      <c r="M38" s="229"/>
      <c r="N38" s="229"/>
      <c r="O38" s="219"/>
      <c r="P38" s="21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0">
        <f>IF(ISTEXT(H38),"",(B38*$B$7/100)+(C38*$C$7/100))</f>
      </c>
      <c r="R38" s="221">
        <f>IF(OR(ISTEXT(H38),Q38=0),"",IF(Q38&lt;0.1,1,IF(Q38&lt;1,2,IF(Q38&lt;10,3,IF(Q38&lt;50,4,IF(Q38&gt;=50,5,""))))))</f>
      </c>
      <c r="S38" s="221">
        <f>IF(ISERROR(R38*I38),0,R38*I38)</f>
        <v>0</v>
      </c>
      <c r="T38" s="221">
        <f>IF(ISERROR(R38*I38*J38),0,R38*I38*J38)</f>
        <v>0</v>
      </c>
      <c r="U38" s="230">
        <f>IF(ISERROR(R38*J38),0,R38*J38)</f>
        <v>0</v>
      </c>
      <c r="V38" s="222">
        <f>IF(AND(A38="",F38=0),"",IF(F38=0,"Il manque le(s) % de rec. !",""))</f>
      </c>
      <c r="W38" s="223" t="s">
        <v>55</v>
      </c>
      <c r="Y38" s="22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5"/>
      <c r="AB38" s="226"/>
      <c r="AC38" s="226"/>
      <c r="BB38" s="8">
        <f>IF(A38="","",1)</f>
      </c>
    </row>
    <row r="39" spans="1:54" ht="12.75">
      <c r="A39" s="238" t="s">
        <v>55</v>
      </c>
      <c r="B39" s="239"/>
      <c r="C39" s="240"/>
      <c r="D39" s="21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7">
        <f>IF(D39="",,VLOOKUP(D39,D$22:D38,1,0))</f>
        <v>0</v>
      </c>
      <c r="F39" s="236">
        <f>($B39*$B$7+$C39*$C$7)/100</f>
        <v>0</v>
      </c>
      <c r="G39" s="21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9"/>
      <c r="M39" s="229"/>
      <c r="N39" s="229"/>
      <c r="O39" s="219"/>
      <c r="P39" s="21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0">
        <f>IF(ISTEXT(H39),"",(B39*$B$7/100)+(C39*$C$7/100))</f>
      </c>
      <c r="R39" s="221">
        <f>IF(OR(ISTEXT(H39),Q39=0),"",IF(Q39&lt;0.1,1,IF(Q39&lt;1,2,IF(Q39&lt;10,3,IF(Q39&lt;50,4,IF(Q39&gt;=50,5,""))))))</f>
      </c>
      <c r="S39" s="221">
        <f>IF(ISERROR(R39*I39),0,R39*I39)</f>
        <v>0</v>
      </c>
      <c r="T39" s="221">
        <f>IF(ISERROR(R39*I39*J39),0,R39*I39*J39)</f>
        <v>0</v>
      </c>
      <c r="U39" s="230">
        <f>IF(ISERROR(R39*J39),0,R39*J39)</f>
        <v>0</v>
      </c>
      <c r="V39" s="222">
        <f>IF(AND(A39="",F39=0),"",IF(F39=0,"Il manque le(s) % de rec. !",""))</f>
      </c>
      <c r="W39" s="223" t="s">
        <v>55</v>
      </c>
      <c r="Y39" s="22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5"/>
      <c r="AB39" s="226"/>
      <c r="AC39" s="226"/>
      <c r="BB39" s="8">
        <f>IF(A39="","",1)</f>
      </c>
    </row>
    <row r="40" spans="1:54" ht="12.75">
      <c r="A40" s="238" t="s">
        <v>55</v>
      </c>
      <c r="B40" s="239"/>
      <c r="C40" s="240"/>
      <c r="D40" s="21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7">
        <f>IF(D40="",,VLOOKUP(D40,D$22:D39,1,0))</f>
        <v>0</v>
      </c>
      <c r="F40" s="236">
        <f>($B40*$B$7+$C40*$C$7)/100</f>
        <v>0</v>
      </c>
      <c r="G40" s="21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9"/>
      <c r="M40" s="229"/>
      <c r="N40" s="229"/>
      <c r="O40" s="219"/>
      <c r="P40" s="21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0">
        <f>IF(ISTEXT(H40),"",(B40*$B$7/100)+(C40*$C$7/100))</f>
      </c>
      <c r="R40" s="221">
        <f>IF(OR(ISTEXT(H40),Q40=0),"",IF(Q40&lt;0.1,1,IF(Q40&lt;1,2,IF(Q40&lt;10,3,IF(Q40&lt;50,4,IF(Q40&gt;=50,5,""))))))</f>
      </c>
      <c r="S40" s="221">
        <f>IF(ISERROR(R40*I40),0,R40*I40)</f>
        <v>0</v>
      </c>
      <c r="T40" s="221">
        <f>IF(ISERROR(R40*I40*J40),0,R40*I40*J40)</f>
        <v>0</v>
      </c>
      <c r="U40" s="230">
        <f>IF(ISERROR(R40*J40),0,R40*J40)</f>
        <v>0</v>
      </c>
      <c r="V40" s="222">
        <f>IF(AND(A40="",F40=0),"",IF(F40=0,"Il manque le(s) % de rec. !",""))</f>
      </c>
      <c r="W40" s="223" t="s">
        <v>55</v>
      </c>
      <c r="Y40" s="22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5"/>
      <c r="AB40" s="226"/>
      <c r="AC40" s="226"/>
      <c r="BB40" s="8">
        <f>IF(A40="","",1)</f>
      </c>
    </row>
    <row r="41" spans="1:54" ht="12.75">
      <c r="A41" s="238" t="s">
        <v>55</v>
      </c>
      <c r="B41" s="239"/>
      <c r="C41" s="240"/>
      <c r="D41" s="21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7">
        <f>IF(D41="",,VLOOKUP(D41,D$22:D40,1,0))</f>
        <v>0</v>
      </c>
      <c r="F41" s="236">
        <f>($B41*$B$7+$C41*$C$7)/100</f>
        <v>0</v>
      </c>
      <c r="G41" s="21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9"/>
      <c r="M41" s="229"/>
      <c r="N41" s="229"/>
      <c r="O41" s="219"/>
      <c r="P41" s="21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0">
        <f>IF(ISTEXT(H41),"",(B41*$B$7/100)+(C41*$C$7/100))</f>
      </c>
      <c r="R41" s="221">
        <f>IF(OR(ISTEXT(H41),Q41=0),"",IF(Q41&lt;0.1,1,IF(Q41&lt;1,2,IF(Q41&lt;10,3,IF(Q41&lt;50,4,IF(Q41&gt;=50,5,""))))))</f>
      </c>
      <c r="S41" s="221">
        <f>IF(ISERROR(R41*I41),0,R41*I41)</f>
        <v>0</v>
      </c>
      <c r="T41" s="221">
        <f>IF(ISERROR(R41*I41*J41),0,R41*I41*J41)</f>
        <v>0</v>
      </c>
      <c r="U41" s="230">
        <f>IF(ISERROR(R41*J41),0,R41*J41)</f>
        <v>0</v>
      </c>
      <c r="V41" s="222">
        <f>IF(AND(A41="",F41=0),"",IF(F41=0,"Il manque le(s) % de rec. !",""))</f>
      </c>
      <c r="W41" s="223" t="s">
        <v>55</v>
      </c>
      <c r="Y41" s="22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5"/>
      <c r="AB41" s="226"/>
      <c r="AC41" s="226"/>
      <c r="BB41" s="8">
        <f>IF(A41="","",1)</f>
      </c>
    </row>
    <row r="42" spans="1:54" ht="12.75">
      <c r="A42" s="238" t="s">
        <v>55</v>
      </c>
      <c r="B42" s="239"/>
      <c r="C42" s="240"/>
      <c r="D42" s="21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7">
        <f>IF(D42="",,VLOOKUP(D42,D$22:D41,1,0))</f>
        <v>0</v>
      </c>
      <c r="F42" s="236">
        <f>($B42*$B$7+$C42*$C$7)/100</f>
        <v>0</v>
      </c>
      <c r="G42" s="21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9"/>
      <c r="M42" s="229"/>
      <c r="N42" s="229"/>
      <c r="O42" s="219"/>
      <c r="P42" s="21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0">
        <f>IF(ISTEXT(H42),"",(B42*$B$7/100)+(C42*$C$7/100))</f>
      </c>
      <c r="R42" s="221">
        <f>IF(OR(ISTEXT(H42),Q42=0),"",IF(Q42&lt;0.1,1,IF(Q42&lt;1,2,IF(Q42&lt;10,3,IF(Q42&lt;50,4,IF(Q42&gt;=50,5,""))))))</f>
      </c>
      <c r="S42" s="221">
        <f>IF(ISERROR(R42*I42),0,R42*I42)</f>
        <v>0</v>
      </c>
      <c r="T42" s="221">
        <f>IF(ISERROR(R42*I42*J42),0,R42*I42*J42)</f>
        <v>0</v>
      </c>
      <c r="U42" s="230">
        <f>IF(ISERROR(R42*J42),0,R42*J42)</f>
        <v>0</v>
      </c>
      <c r="V42" s="222">
        <f>IF(AND(A42="",F42=0),"",IF(F42=0,"Il manque le(s) % de rec. !",""))</f>
      </c>
      <c r="W42" s="223" t="s">
        <v>55</v>
      </c>
      <c r="Y42" s="22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5"/>
      <c r="AB42" s="226"/>
      <c r="AC42" s="226"/>
      <c r="BB42" s="8">
        <f>IF(A42="","",1)</f>
      </c>
    </row>
    <row r="43" spans="1:54" ht="12.75">
      <c r="A43" s="238" t="s">
        <v>55</v>
      </c>
      <c r="B43" s="239"/>
      <c r="C43" s="240"/>
      <c r="D43" s="21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7">
        <f>IF(D43="",,VLOOKUP(D43,D$22:D42,1,0))</f>
        <v>0</v>
      </c>
      <c r="F43" s="236">
        <f>($B43*$B$7+$C43*$C$7)/100</f>
        <v>0</v>
      </c>
      <c r="G43" s="21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9"/>
      <c r="M43" s="229"/>
      <c r="N43" s="229"/>
      <c r="O43" s="219"/>
      <c r="P43" s="21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0">
        <f>IF(ISTEXT(H43),"",(B43*$B$7/100)+(C43*$C$7/100))</f>
      </c>
      <c r="R43" s="221">
        <f>IF(OR(ISTEXT(H43),Q43=0),"",IF(Q43&lt;0.1,1,IF(Q43&lt;1,2,IF(Q43&lt;10,3,IF(Q43&lt;50,4,IF(Q43&gt;=50,5,""))))))</f>
      </c>
      <c r="S43" s="221">
        <f>IF(ISERROR(R43*I43),0,R43*I43)</f>
        <v>0</v>
      </c>
      <c r="T43" s="221">
        <f>IF(ISERROR(R43*I43*J43),0,R43*I43*J43)</f>
        <v>0</v>
      </c>
      <c r="U43" s="230">
        <f>IF(ISERROR(R43*J43),0,R43*J43)</f>
        <v>0</v>
      </c>
      <c r="V43" s="222">
        <f>IF(AND(A43="",F43=0),"",IF(F43=0,"Il manque le(s) % de rec. !",""))</f>
      </c>
      <c r="W43" s="223" t="s">
        <v>55</v>
      </c>
      <c r="Y43" s="22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5"/>
      <c r="AB43" s="226"/>
      <c r="AC43" s="226"/>
      <c r="BB43" s="8">
        <f>IF(A43="","",1)</f>
      </c>
    </row>
    <row r="44" spans="1:54" ht="12.75">
      <c r="A44" s="238" t="s">
        <v>55</v>
      </c>
      <c r="B44" s="239"/>
      <c r="C44" s="240"/>
      <c r="D44" s="21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7">
        <f>IF(D44="",,VLOOKUP(D44,D$22:D43,1,0))</f>
        <v>0</v>
      </c>
      <c r="F44" s="236">
        <f>($B44*$B$7+$C44*$C$7)/100</f>
        <v>0</v>
      </c>
      <c r="G44" s="21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9"/>
      <c r="M44" s="229"/>
      <c r="N44" s="229"/>
      <c r="O44" s="219"/>
      <c r="P44" s="21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0">
        <f>IF(ISTEXT(H44),"",(B44*$B$7/100)+(C44*$C$7/100))</f>
      </c>
      <c r="R44" s="221">
        <f>IF(OR(ISTEXT(H44),Q44=0),"",IF(Q44&lt;0.1,1,IF(Q44&lt;1,2,IF(Q44&lt;10,3,IF(Q44&lt;50,4,IF(Q44&gt;=50,5,""))))))</f>
      </c>
      <c r="S44" s="221">
        <f>IF(ISERROR(R44*I44),0,R44*I44)</f>
        <v>0</v>
      </c>
      <c r="T44" s="221">
        <f>IF(ISERROR(R44*I44*J44),0,R44*I44*J44)</f>
        <v>0</v>
      </c>
      <c r="U44" s="230">
        <f>IF(ISERROR(R44*J44),0,R44*J44)</f>
        <v>0</v>
      </c>
      <c r="V44" s="222">
        <f>IF(AND(A44="",F44=0),"",IF(F44=0,"Il manque le(s) % de rec. !",""))</f>
      </c>
      <c r="W44" s="223" t="s">
        <v>55</v>
      </c>
      <c r="Y44" s="22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5"/>
      <c r="AB44" s="226"/>
      <c r="AC44" s="226"/>
      <c r="BB44" s="8">
        <f>IF(A44="","",1)</f>
      </c>
    </row>
    <row r="45" spans="1:54" ht="12.75">
      <c r="A45" s="238" t="s">
        <v>55</v>
      </c>
      <c r="B45" s="239"/>
      <c r="C45" s="240"/>
      <c r="D45" s="21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7">
        <f>IF(D45="",,VLOOKUP(D45,D$22:D44,1,0))</f>
        <v>0</v>
      </c>
      <c r="F45" s="236">
        <f>($B45*$B$7+$C45*$C$7)/100</f>
        <v>0</v>
      </c>
      <c r="G45" s="21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9"/>
      <c r="M45" s="229"/>
      <c r="N45" s="229"/>
      <c r="O45" s="219"/>
      <c r="P45" s="21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0">
        <f>IF(ISTEXT(H45),"",(B45*$B$7/100)+(C45*$C$7/100))</f>
      </c>
      <c r="R45" s="221">
        <f>IF(OR(ISTEXT(H45),Q45=0),"",IF(Q45&lt;0.1,1,IF(Q45&lt;1,2,IF(Q45&lt;10,3,IF(Q45&lt;50,4,IF(Q45&gt;=50,5,""))))))</f>
      </c>
      <c r="S45" s="221">
        <f>IF(ISERROR(R45*I45),0,R45*I45)</f>
        <v>0</v>
      </c>
      <c r="T45" s="221">
        <f>IF(ISERROR(R45*I45*J45),0,R45*I45*J45)</f>
        <v>0</v>
      </c>
      <c r="U45" s="230">
        <f>IF(ISERROR(R45*J45),0,R45*J45)</f>
        <v>0</v>
      </c>
      <c r="V45" s="222">
        <f>IF(AND(A45="",F45=0),"",IF(F45=0,"Il manque le(s) % de rec. !",""))</f>
      </c>
      <c r="W45" s="223" t="s">
        <v>55</v>
      </c>
      <c r="Y45" s="22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5"/>
      <c r="AB45" s="226"/>
      <c r="AC45" s="226"/>
      <c r="BB45" s="8">
        <f>IF(A45="","",1)</f>
      </c>
    </row>
    <row r="46" spans="1:54" ht="12.75">
      <c r="A46" s="238" t="s">
        <v>55</v>
      </c>
      <c r="B46" s="239"/>
      <c r="C46" s="240"/>
      <c r="D46" s="21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7">
        <f>IF(D46="",,VLOOKUP(D46,D$22:D39,1,0))</f>
        <v>0</v>
      </c>
      <c r="F46" s="236">
        <f>($B46*$B$7+$C46*$C$7)/100</f>
        <v>0</v>
      </c>
      <c r="G46" s="21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9"/>
      <c r="M46" s="229"/>
      <c r="N46" s="229"/>
      <c r="O46" s="219"/>
      <c r="P46" s="21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0">
        <f>IF(ISTEXT(H46),"",(B46*$B$7/100)+(C46*$C$7/100))</f>
      </c>
      <c r="R46" s="221">
        <f>IF(OR(ISTEXT(H46),Q46=0),"",IF(Q46&lt;0.1,1,IF(Q46&lt;1,2,IF(Q46&lt;10,3,IF(Q46&lt;50,4,IF(Q46&gt;=50,5,""))))))</f>
      </c>
      <c r="S46" s="221">
        <f>IF(ISERROR(R46*I46),0,R46*I46)</f>
        <v>0</v>
      </c>
      <c r="T46" s="221">
        <f>IF(ISERROR(R46*I46*J46),0,R46*I46*J46)</f>
        <v>0</v>
      </c>
      <c r="U46" s="230">
        <f>IF(ISERROR(R46*J46),0,R46*J46)</f>
        <v>0</v>
      </c>
      <c r="V46" s="222">
        <f>IF(AND(A46="",F46=0),"",IF(F46=0,"Il manque le(s) % de rec. !",""))</f>
      </c>
      <c r="W46" s="223" t="s">
        <v>55</v>
      </c>
      <c r="Y46" s="22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5"/>
      <c r="AB46" s="226"/>
      <c r="AC46" s="226"/>
      <c r="BB46" s="8">
        <f>IF(A46="","",1)</f>
      </c>
    </row>
    <row r="47" spans="1:54" ht="12.75">
      <c r="A47" s="238" t="s">
        <v>55</v>
      </c>
      <c r="B47" s="239"/>
      <c r="C47" s="240"/>
      <c r="D47" s="21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7">
        <f>IF(D47="",,VLOOKUP(D47,D$22:D39,1,0))</f>
        <v>0</v>
      </c>
      <c r="F47" s="236">
        <f>($B47*$B$7+$C47*$C$7)/100</f>
        <v>0</v>
      </c>
      <c r="G47" s="21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9"/>
      <c r="M47" s="229"/>
      <c r="N47" s="229"/>
      <c r="O47" s="219"/>
      <c r="P47" s="21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0">
        <f>IF(ISTEXT(H47),"",(B47*$B$7/100)+(C47*$C$7/100))</f>
      </c>
      <c r="R47" s="221">
        <f>IF(OR(ISTEXT(H47),Q47=0),"",IF(Q47&lt;0.1,1,IF(Q47&lt;1,2,IF(Q47&lt;10,3,IF(Q47&lt;50,4,IF(Q47&gt;=50,5,""))))))</f>
      </c>
      <c r="S47" s="221">
        <f>IF(ISERROR(R47*I47),0,R47*I47)</f>
        <v>0</v>
      </c>
      <c r="T47" s="221">
        <f>IF(ISERROR(R47*I47*J47),0,R47*I47*J47)</f>
        <v>0</v>
      </c>
      <c r="U47" s="230">
        <f>IF(ISERROR(R47*J47),0,R47*J47)</f>
        <v>0</v>
      </c>
      <c r="V47" s="222">
        <f>IF(AND(A47="",F47=0),"",IF(F47=0,"Il manque le(s) % de rec. !",""))</f>
      </c>
      <c r="W47" s="223" t="s">
        <v>55</v>
      </c>
      <c r="Y47" s="22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5"/>
      <c r="AB47" s="226"/>
      <c r="AC47" s="226"/>
      <c r="BB47" s="8">
        <f>IF(A47="","",1)</f>
      </c>
    </row>
    <row r="48" spans="1:54" ht="12.75">
      <c r="A48" s="238" t="s">
        <v>55</v>
      </c>
      <c r="B48" s="239"/>
      <c r="C48" s="240"/>
      <c r="D48" s="21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7">
        <f>IF(D48="",,VLOOKUP(D48,D$22:D40,1,0))</f>
        <v>0</v>
      </c>
      <c r="F48" s="236">
        <f>($B48*$B$7+$C48*$C$7)/100</f>
        <v>0</v>
      </c>
      <c r="G48" s="21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9"/>
      <c r="M48" s="229"/>
      <c r="N48" s="229"/>
      <c r="O48" s="219"/>
      <c r="P48" s="21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0">
        <f>IF(ISTEXT(H48),"",(B48*$B$7/100)+(C48*$C$7/100))</f>
      </c>
      <c r="R48" s="221">
        <f>IF(OR(ISTEXT(H48),Q48=0),"",IF(Q48&lt;0.1,1,IF(Q48&lt;1,2,IF(Q48&lt;10,3,IF(Q48&lt;50,4,IF(Q48&gt;=50,5,""))))))</f>
      </c>
      <c r="S48" s="221">
        <f>IF(ISERROR(R48*I48),0,R48*I48)</f>
        <v>0</v>
      </c>
      <c r="T48" s="221">
        <f>IF(ISERROR(R48*I48*J48),0,R48*I48*J48)</f>
        <v>0</v>
      </c>
      <c r="U48" s="230">
        <f>IF(ISERROR(R48*J48),0,R48*J48)</f>
        <v>0</v>
      </c>
      <c r="V48" s="222">
        <f>IF(AND(A48="",F48=0),"",IF(F48=0,"Il manque le(s) % de rec. !",""))</f>
      </c>
      <c r="W48" s="223" t="s">
        <v>55</v>
      </c>
      <c r="Y48" s="22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5"/>
      <c r="AB48" s="226"/>
      <c r="AC48" s="226"/>
      <c r="BB48" s="8">
        <f>IF(A48="","",1)</f>
      </c>
    </row>
    <row r="49" spans="1:54" ht="12.75">
      <c r="A49" s="238" t="s">
        <v>55</v>
      </c>
      <c r="B49" s="239"/>
      <c r="C49" s="240"/>
      <c r="D49" s="21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7">
        <f>IF(D49="",,VLOOKUP(D49,D$22:D48,1,0))</f>
        <v>0</v>
      </c>
      <c r="F49" s="236">
        <f>($B49*$B$7+$C49*$C$7)/100</f>
        <v>0</v>
      </c>
      <c r="G49" s="21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9"/>
      <c r="M49" s="229"/>
      <c r="N49" s="229"/>
      <c r="O49" s="219"/>
      <c r="P49" s="21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0">
        <f>IF(ISTEXT(H49),"",(B49*$B$7/100)+(C49*$C$7/100))</f>
      </c>
      <c r="R49" s="221">
        <f>IF(OR(ISTEXT(H49),Q49=0),"",IF(Q49&lt;0.1,1,IF(Q49&lt;1,2,IF(Q49&lt;10,3,IF(Q49&lt;50,4,IF(Q49&gt;=50,5,""))))))</f>
      </c>
      <c r="S49" s="221">
        <f>IF(ISERROR(R49*I49),0,R49*I49)</f>
        <v>0</v>
      </c>
      <c r="T49" s="221">
        <f>IF(ISERROR(R49*I49*J49),0,R49*I49*J49)</f>
        <v>0</v>
      </c>
      <c r="U49" s="230">
        <f>IF(ISERROR(R49*J49),0,R49*J49)</f>
        <v>0</v>
      </c>
      <c r="V49" s="222">
        <f>IF(AND(A49="",F49=0),"",IF(F49=0,"Il manque le(s) % de rec. !",""))</f>
      </c>
      <c r="W49" s="223" t="s">
        <v>55</v>
      </c>
      <c r="Y49" s="22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5"/>
      <c r="AB49" s="226"/>
      <c r="AC49" s="226"/>
      <c r="BB49" s="8">
        <f>IF(A49="","",1)</f>
      </c>
    </row>
    <row r="50" spans="1:54" ht="12.75">
      <c r="A50" s="238" t="s">
        <v>55</v>
      </c>
      <c r="B50" s="239"/>
      <c r="C50" s="240"/>
      <c r="D50" s="21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7">
        <f>IF(D50="",,VLOOKUP(D50,D$22:D49,1,0))</f>
        <v>0</v>
      </c>
      <c r="F50" s="236">
        <f>($B50*$B$7+$C50*$C$7)/100</f>
        <v>0</v>
      </c>
      <c r="G50" s="21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9"/>
      <c r="M50" s="229"/>
      <c r="N50" s="229"/>
      <c r="O50" s="219"/>
      <c r="P50" s="21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0">
        <f>IF(ISTEXT(H50),"",(B50*$B$7/100)+(C50*$C$7/100))</f>
      </c>
      <c r="R50" s="221">
        <f>IF(OR(ISTEXT(H50),Q50=0),"",IF(Q50&lt;0.1,1,IF(Q50&lt;1,2,IF(Q50&lt;10,3,IF(Q50&lt;50,4,IF(Q50&gt;=50,5,""))))))</f>
      </c>
      <c r="S50" s="221">
        <f>IF(ISERROR(R50*I50),0,R50*I50)</f>
        <v>0</v>
      </c>
      <c r="T50" s="221">
        <f>IF(ISERROR(R50*I50*J50),0,R50*I50*J50)</f>
        <v>0</v>
      </c>
      <c r="U50" s="230">
        <f>IF(ISERROR(R50*J50),0,R50*J50)</f>
        <v>0</v>
      </c>
      <c r="V50" s="222">
        <f>IF(AND(A50="",F50=0),"",IF(F50=0,"Il manque le(s) % de rec. !",""))</f>
      </c>
      <c r="W50" s="223" t="s">
        <v>55</v>
      </c>
      <c r="Y50" s="22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5"/>
      <c r="AB50" s="226"/>
      <c r="AC50" s="226"/>
      <c r="BB50" s="8">
        <f>IF(A50="","",1)</f>
      </c>
    </row>
    <row r="51" spans="1:54" ht="12.75">
      <c r="A51" s="238" t="s">
        <v>55</v>
      </c>
      <c r="B51" s="239"/>
      <c r="C51" s="240"/>
      <c r="D51" s="21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7">
        <f>IF(D51="",,VLOOKUP(D51,D$22:D50,1,0))</f>
        <v>0</v>
      </c>
      <c r="F51" s="236">
        <f>($B51*$B$7+$C51*$C$7)/100</f>
        <v>0</v>
      </c>
      <c r="G51" s="21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9"/>
      <c r="M51" s="229"/>
      <c r="N51" s="229"/>
      <c r="O51" s="219"/>
      <c r="P51" s="21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0">
        <f>IF(ISTEXT(H51),"",(B51*$B$7/100)+(C51*$C$7/100))</f>
      </c>
      <c r="R51" s="221">
        <f>IF(OR(ISTEXT(H51),Q51=0),"",IF(Q51&lt;0.1,1,IF(Q51&lt;1,2,IF(Q51&lt;10,3,IF(Q51&lt;50,4,IF(Q51&gt;=50,5,""))))))</f>
      </c>
      <c r="S51" s="221">
        <f>IF(ISERROR(R51*I51),0,R51*I51)</f>
        <v>0</v>
      </c>
      <c r="T51" s="221">
        <f>IF(ISERROR(R51*I51*J51),0,R51*I51*J51)</f>
        <v>0</v>
      </c>
      <c r="U51" s="230">
        <f>IF(ISERROR(R51*J51),0,R51*J51)</f>
        <v>0</v>
      </c>
      <c r="V51" s="222">
        <f>IF(AND(A51="",F51=0),"",IF(F51=0,"Il manque le(s) % de rec. !",""))</f>
      </c>
      <c r="W51" s="223" t="s">
        <v>55</v>
      </c>
      <c r="Y51" s="22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5"/>
      <c r="AB51" s="226"/>
      <c r="AC51" s="226"/>
      <c r="BB51" s="8">
        <f>IF(A51="","",1)</f>
      </c>
    </row>
    <row r="52" spans="1:54" ht="12.75">
      <c r="A52" s="238" t="s">
        <v>55</v>
      </c>
      <c r="B52" s="239"/>
      <c r="C52" s="240"/>
      <c r="D52" s="21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7">
        <f>IF(D52="",,VLOOKUP(D52,D$22:D51,1,0))</f>
        <v>0</v>
      </c>
      <c r="F52" s="236">
        <f>($B52*$B$7+$C52*$C$7)/100</f>
        <v>0</v>
      </c>
      <c r="G52" s="21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9"/>
      <c r="M52" s="229"/>
      <c r="N52" s="229"/>
      <c r="O52" s="219"/>
      <c r="P52" s="21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0">
        <f>IF(ISTEXT(H52),"",(B52*$B$7/100)+(C52*$C$7/100))</f>
      </c>
      <c r="R52" s="221">
        <f>IF(OR(ISTEXT(H52),Q52=0),"",IF(Q52&lt;0.1,1,IF(Q52&lt;1,2,IF(Q52&lt;10,3,IF(Q52&lt;50,4,IF(Q52&gt;=50,5,""))))))</f>
      </c>
      <c r="S52" s="221">
        <f>IF(ISERROR(R52*I52),0,R52*I52)</f>
        <v>0</v>
      </c>
      <c r="T52" s="221">
        <f>IF(ISERROR(R52*I52*J52),0,R52*I52*J52)</f>
        <v>0</v>
      </c>
      <c r="U52" s="230">
        <f>IF(ISERROR(R52*J52),0,R52*J52)</f>
        <v>0</v>
      </c>
      <c r="V52" s="222">
        <f>IF(AND(A52="",F52=0),"",IF(F52=0,"Il manque le(s) % de rec. !",""))</f>
      </c>
      <c r="W52" s="223" t="s">
        <v>55</v>
      </c>
      <c r="Y52" s="22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5"/>
      <c r="AB52" s="226"/>
      <c r="AC52" s="226"/>
      <c r="BB52" s="8">
        <f>IF(A52="","",1)</f>
      </c>
    </row>
    <row r="53" spans="1:54" ht="12.75">
      <c r="A53" s="238" t="s">
        <v>55</v>
      </c>
      <c r="B53" s="239"/>
      <c r="C53" s="240"/>
      <c r="D53" s="21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7">
        <f>IF(D53="",,VLOOKUP(D53,D$22:D52,1,0))</f>
        <v>0</v>
      </c>
      <c r="F53" s="236">
        <f>($B53*$B$7+$C53*$C$7)/100</f>
        <v>0</v>
      </c>
      <c r="G53" s="21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9"/>
      <c r="M53" s="229"/>
      <c r="N53" s="229"/>
      <c r="O53" s="219"/>
      <c r="P53" s="21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0">
        <f>IF(ISTEXT(H53),"",(B53*$B$7/100)+(C53*$C$7/100))</f>
      </c>
      <c r="R53" s="221">
        <f>IF(OR(ISTEXT(H53),Q53=0),"",IF(Q53&lt;0.1,1,IF(Q53&lt;1,2,IF(Q53&lt;10,3,IF(Q53&lt;50,4,IF(Q53&gt;=50,5,""))))))</f>
      </c>
      <c r="S53" s="221">
        <f>IF(ISERROR(R53*I53),0,R53*I53)</f>
        <v>0</v>
      </c>
      <c r="T53" s="221">
        <f>IF(ISERROR(R53*I53*J53),0,R53*I53*J53)</f>
        <v>0</v>
      </c>
      <c r="U53" s="230">
        <f>IF(ISERROR(R53*J53),0,R53*J53)</f>
        <v>0</v>
      </c>
      <c r="V53" s="222">
        <f>IF(AND(A53="",F53=0),"",IF(F53=0,"Il manque le(s) % de rec. !",""))</f>
      </c>
      <c r="W53" s="223" t="s">
        <v>55</v>
      </c>
      <c r="Y53" s="22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5"/>
      <c r="AB53" s="226"/>
      <c r="AC53" s="226"/>
      <c r="BB53" s="8">
        <f>IF(A53="","",1)</f>
      </c>
    </row>
    <row r="54" spans="1:54" ht="12.75">
      <c r="A54" s="238" t="s">
        <v>55</v>
      </c>
      <c r="B54" s="239"/>
      <c r="C54" s="240"/>
      <c r="D54" s="21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7">
        <f>IF(D54="",,VLOOKUP(D54,D$22:D53,1,0))</f>
        <v>0</v>
      </c>
      <c r="F54" s="236">
        <f>($B54*$B$7+$C54*$C$7)/100</f>
        <v>0</v>
      </c>
      <c r="G54" s="21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9"/>
      <c r="M54" s="229"/>
      <c r="N54" s="229"/>
      <c r="O54" s="219"/>
      <c r="P54" s="21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0">
        <f>IF(ISTEXT(H54),"",(B54*$B$7/100)+(C54*$C$7/100))</f>
      </c>
      <c r="R54" s="221">
        <f>IF(OR(ISTEXT(H54),Q54=0),"",IF(Q54&lt;0.1,1,IF(Q54&lt;1,2,IF(Q54&lt;10,3,IF(Q54&lt;50,4,IF(Q54&gt;=50,5,""))))))</f>
      </c>
      <c r="S54" s="221">
        <f>IF(ISERROR(R54*I54),0,R54*I54)</f>
        <v>0</v>
      </c>
      <c r="T54" s="221">
        <f>IF(ISERROR(R54*I54*J54),0,R54*I54*J54)</f>
        <v>0</v>
      </c>
      <c r="U54" s="230">
        <f>IF(ISERROR(R54*J54),0,R54*J54)</f>
        <v>0</v>
      </c>
      <c r="V54" s="222">
        <f>IF(AND(A54="",F54=0),"",IF(F54=0,"Il manque le(s) % de rec. !",""))</f>
      </c>
      <c r="W54" s="223" t="s">
        <v>55</v>
      </c>
      <c r="Y54" s="22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5"/>
      <c r="AB54" s="226"/>
      <c r="AC54" s="226"/>
      <c r="BB54" s="8">
        <f>IF(A54="","",1)</f>
      </c>
    </row>
    <row r="55" spans="1:54" ht="12.75">
      <c r="A55" s="238" t="s">
        <v>55</v>
      </c>
      <c r="B55" s="239"/>
      <c r="C55" s="240"/>
      <c r="D55" s="21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7">
        <f>IF(D55="",,VLOOKUP(D55,D$22:D54,1,0))</f>
        <v>0</v>
      </c>
      <c r="F55" s="236">
        <f>($B55*$B$7+$C55*$C$7)/100</f>
        <v>0</v>
      </c>
      <c r="G55" s="21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9"/>
      <c r="M55" s="229"/>
      <c r="N55" s="229"/>
      <c r="O55" s="219"/>
      <c r="P55" s="21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0">
        <f>IF(ISTEXT(H55),"",(B55*$B$7/100)+(C55*$C$7/100))</f>
      </c>
      <c r="R55" s="221">
        <f>IF(OR(ISTEXT(H55),Q55=0),"",IF(Q55&lt;0.1,1,IF(Q55&lt;1,2,IF(Q55&lt;10,3,IF(Q55&lt;50,4,IF(Q55&gt;=50,5,""))))))</f>
      </c>
      <c r="S55" s="221">
        <f>IF(ISERROR(R55*I55),0,R55*I55)</f>
        <v>0</v>
      </c>
      <c r="T55" s="221">
        <f>IF(ISERROR(R55*I55*J55),0,R55*I55*J55)</f>
        <v>0</v>
      </c>
      <c r="U55" s="230">
        <f>IF(ISERROR(R55*J55),0,R55*J55)</f>
        <v>0</v>
      </c>
      <c r="V55" s="222">
        <f>IF(AND(A55="",F55=0),"",IF(F55=0,"Il manque le(s) % de rec. !",""))</f>
      </c>
      <c r="W55" s="223" t="s">
        <v>55</v>
      </c>
      <c r="Y55" s="22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5"/>
      <c r="AB55" s="226"/>
      <c r="AC55" s="226"/>
      <c r="BB55" s="8">
        <f>IF(A55="","",1)</f>
      </c>
    </row>
    <row r="56" spans="1:54" ht="12.75">
      <c r="A56" s="238" t="s">
        <v>55</v>
      </c>
      <c r="B56" s="239"/>
      <c r="C56" s="240"/>
      <c r="D56" s="21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7">
        <f>IF(D56="",,VLOOKUP(D56,D$22:D55,1,0))</f>
        <v>0</v>
      </c>
      <c r="F56" s="236">
        <f>($B56*$B$7+$C56*$C$7)/100</f>
        <v>0</v>
      </c>
      <c r="G56" s="21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9"/>
      <c r="M56" s="229"/>
      <c r="N56" s="229"/>
      <c r="O56" s="219"/>
      <c r="P56" s="21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0">
        <f>IF(ISTEXT(H56),"",(B56*$B$7/100)+(C56*$C$7/100))</f>
      </c>
      <c r="R56" s="221">
        <f>IF(OR(ISTEXT(H56),Q56=0),"",IF(Q56&lt;0.1,1,IF(Q56&lt;1,2,IF(Q56&lt;10,3,IF(Q56&lt;50,4,IF(Q56&gt;=50,5,""))))))</f>
      </c>
      <c r="S56" s="221">
        <f>IF(ISERROR(R56*I56),0,R56*I56)</f>
        <v>0</v>
      </c>
      <c r="T56" s="221">
        <f>IF(ISERROR(R56*I56*J56),0,R56*I56*J56)</f>
        <v>0</v>
      </c>
      <c r="U56" s="230">
        <f>IF(ISERROR(R56*J56),0,R56*J56)</f>
        <v>0</v>
      </c>
      <c r="V56" s="222">
        <f>IF(AND(A56="",F56=0),"",IF(F56=0,"Il manque le(s) % de rec. !",""))</f>
      </c>
      <c r="W56" s="223" t="s">
        <v>55</v>
      </c>
      <c r="Y56" s="22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5"/>
      <c r="AB56" s="226"/>
      <c r="AC56" s="226"/>
      <c r="BB56" s="8">
        <f>IF(A56="","",1)</f>
      </c>
    </row>
    <row r="57" spans="1:54" ht="12.75">
      <c r="A57" s="238" t="s">
        <v>55</v>
      </c>
      <c r="B57" s="239"/>
      <c r="C57" s="240"/>
      <c r="D57" s="21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7">
        <f>IF(D57="",,VLOOKUP(D57,D$21:D56,1,0))</f>
        <v>0</v>
      </c>
      <c r="F57" s="236">
        <f>($B57*$B$7+$C57*$C$7)/100</f>
        <v>0</v>
      </c>
      <c r="G57" s="21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9"/>
      <c r="M57" s="229"/>
      <c r="N57" s="229"/>
      <c r="O57" s="219"/>
      <c r="P57" s="21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0">
        <f>IF(ISTEXT(H57),"",(B57*$B$7/100)+(C57*$C$7/100))</f>
      </c>
      <c r="R57" s="221">
        <f>IF(OR(ISTEXT(H57),Q57=0),"",IF(Q57&lt;0.1,1,IF(Q57&lt;1,2,IF(Q57&lt;10,3,IF(Q57&lt;50,4,IF(Q57&gt;=50,5,""))))))</f>
      </c>
      <c r="S57" s="221">
        <f>IF(ISERROR(R57*I57),0,R57*I57)</f>
        <v>0</v>
      </c>
      <c r="T57" s="221">
        <f>IF(ISERROR(R57*I57*J57),0,R57*I57*J57)</f>
        <v>0</v>
      </c>
      <c r="U57" s="230">
        <f>IF(ISERROR(R57*J57),0,R57*J57)</f>
        <v>0</v>
      </c>
      <c r="V57" s="222">
        <f>IF(AND(A57="",F57=0),"",IF(F57=0,"Il manque le(s) % de rec. !",""))</f>
      </c>
      <c r="W57" s="223" t="s">
        <v>55</v>
      </c>
      <c r="X57" s="241"/>
      <c r="Y57" s="22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5"/>
      <c r="AB57" s="226"/>
      <c r="AC57" s="226"/>
      <c r="BB57" s="8">
        <f>IF(A57="","",1)</f>
      </c>
    </row>
    <row r="58" spans="1:54" ht="12.75">
      <c r="A58" s="238" t="s">
        <v>55</v>
      </c>
      <c r="B58" s="239"/>
      <c r="C58" s="240"/>
      <c r="D58" s="21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7">
        <f>IF(D58="",,VLOOKUP(D58,D$22:D57,1,0))</f>
        <v>0</v>
      </c>
      <c r="F58" s="236">
        <f>($B58*$B$7+$C58*$C$7)/100</f>
        <v>0</v>
      </c>
      <c r="G58" s="21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9"/>
      <c r="M58" s="229"/>
      <c r="N58" s="229"/>
      <c r="O58" s="219"/>
      <c r="P58" s="21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0">
        <f>IF(ISTEXT(H58),"",(B58*$B$7/100)+(C58*$C$7/100))</f>
      </c>
      <c r="R58" s="221">
        <f>IF(OR(ISTEXT(H58),Q58=0),"",IF(Q58&lt;0.1,1,IF(Q58&lt;1,2,IF(Q58&lt;10,3,IF(Q58&lt;50,4,IF(Q58&gt;=50,5,""))))))</f>
      </c>
      <c r="S58" s="221">
        <f>IF(ISERROR(R58*I58),0,R58*I58)</f>
        <v>0</v>
      </c>
      <c r="T58" s="221">
        <f>IF(ISERROR(R58*I58*J58),0,R58*I58*J58)</f>
        <v>0</v>
      </c>
      <c r="U58" s="230">
        <f>IF(ISERROR(R58*J58),0,R58*J58)</f>
        <v>0</v>
      </c>
      <c r="V58" s="222">
        <f>IF(AND(A58="",F58=0),"",IF(F58=0,"Il manque le(s) % de rec. !",""))</f>
      </c>
      <c r="W58" s="223" t="s">
        <v>55</v>
      </c>
      <c r="Y58" s="22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5"/>
      <c r="AB58" s="226"/>
      <c r="AC58" s="226"/>
      <c r="BB58" s="8">
        <f>IF(A58="","",1)</f>
      </c>
    </row>
    <row r="59" spans="1:54" ht="12.75">
      <c r="A59" s="238" t="s">
        <v>55</v>
      </c>
      <c r="B59" s="239"/>
      <c r="C59" s="240"/>
      <c r="D59" s="21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7">
        <f>IF(D59="",,VLOOKUP(D59,D$22:D58,1,0))</f>
        <v>0</v>
      </c>
      <c r="F59" s="236">
        <f>($B59*$B$7+$C59*$C$7)/100</f>
        <v>0</v>
      </c>
      <c r="G59" s="21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42"/>
      <c r="M59" s="242"/>
      <c r="N59" s="242"/>
      <c r="O59" s="219"/>
      <c r="P59" s="243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0">
        <f>IF(ISTEXT(H59),"",(B59*$B$7/100)+(C59*$C$7/100))</f>
      </c>
      <c r="R59" s="221">
        <f>IF(OR(ISTEXT(H59),Q59=0),"",IF(Q59&lt;0.1,1,IF(Q59&lt;1,2,IF(Q59&lt;10,3,IF(Q59&lt;50,4,IF(Q59&gt;=50,5,""))))))</f>
      </c>
      <c r="S59" s="221">
        <f>IF(ISERROR(R59*I59),0,R59*I59)</f>
        <v>0</v>
      </c>
      <c r="T59" s="221">
        <f>IF(ISERROR(R59*I59*J59),0,R59*I59*J59)</f>
        <v>0</v>
      </c>
      <c r="U59" s="230">
        <f>IF(ISERROR(R59*J59),0,R59*J59)</f>
        <v>0</v>
      </c>
      <c r="V59" s="222">
        <f>IF(AND(A59="",F59=0),"",IF(F59=0,"Il manque le(s) % de rec. !",""))</f>
      </c>
      <c r="W59" s="223" t="s">
        <v>55</v>
      </c>
      <c r="Y59" s="22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5"/>
      <c r="AB59" s="226"/>
      <c r="AC59" s="226"/>
      <c r="BB59" s="8">
        <f>IF(A59="","",1)</f>
      </c>
    </row>
    <row r="60" spans="1:54" ht="12.75">
      <c r="A60" s="238" t="s">
        <v>55</v>
      </c>
      <c r="B60" s="239"/>
      <c r="C60" s="240"/>
      <c r="D60" s="21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7">
        <f>IF(D60="",,VLOOKUP(D60,D$22:D59,1,0))</f>
        <v>0</v>
      </c>
      <c r="F60" s="236">
        <f>($B60*$B$7+$C60*$C$7)/100</f>
        <v>0</v>
      </c>
      <c r="G60" s="21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42"/>
      <c r="M60" s="242"/>
      <c r="N60" s="242"/>
      <c r="O60" s="219"/>
      <c r="P60" s="243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0">
        <f>IF(ISTEXT(H60),"",(B60*$B$7/100)+(C60*$C$7/100))</f>
      </c>
      <c r="R60" s="221">
        <f>IF(OR(ISTEXT(H60),Q60=0),"",IF(Q60&lt;0.1,1,IF(Q60&lt;1,2,IF(Q60&lt;10,3,IF(Q60&lt;50,4,IF(Q60&gt;=50,5,""))))))</f>
      </c>
      <c r="S60" s="221">
        <f>IF(ISERROR(R60*I60),0,R60*I60)</f>
        <v>0</v>
      </c>
      <c r="T60" s="221">
        <f>IF(ISERROR(R60*I60*J60),0,R60*I60*J60)</f>
        <v>0</v>
      </c>
      <c r="U60" s="230">
        <f>IF(ISERROR(R60*J60),0,R60*J60)</f>
        <v>0</v>
      </c>
      <c r="V60" s="222">
        <f>IF(AND(A60="",F60=0),"",IF(F60=0,"Il manque le(s) % de rec. !",""))</f>
      </c>
      <c r="W60" s="223" t="s">
        <v>55</v>
      </c>
      <c r="Y60" s="22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5"/>
      <c r="AB60" s="226"/>
      <c r="AC60" s="226"/>
      <c r="BB60" s="8">
        <f>IF(A60="","",1)</f>
      </c>
    </row>
    <row r="61" spans="1:54" ht="12.75">
      <c r="A61" s="238" t="s">
        <v>55</v>
      </c>
      <c r="B61" s="239"/>
      <c r="C61" s="240"/>
      <c r="D61" s="21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7">
        <f>IF(D61="",,VLOOKUP(D61,D$22:D60,1,0))</f>
        <v>0</v>
      </c>
      <c r="F61" s="236">
        <f>($B61*$B$7+$C61*$C$7)/100</f>
        <v>0</v>
      </c>
      <c r="G61" s="21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9"/>
      <c r="M61" s="229"/>
      <c r="N61" s="229"/>
      <c r="O61" s="219"/>
      <c r="P61" s="21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0">
        <f>IF(ISTEXT(H61),"",(B61*$B$7/100)+(C61*$C$7/100))</f>
      </c>
      <c r="R61" s="221">
        <f>IF(OR(ISTEXT(H61),Q61=0),"",IF(Q61&lt;0.1,1,IF(Q61&lt;1,2,IF(Q61&lt;10,3,IF(Q61&lt;50,4,IF(Q61&gt;=50,5,""))))))</f>
      </c>
      <c r="S61" s="221">
        <f>IF(ISERROR(R61*I61),0,R61*I61)</f>
        <v>0</v>
      </c>
      <c r="T61" s="221">
        <f>IF(ISERROR(R61*I61*J61),0,R61*I61*J61)</f>
        <v>0</v>
      </c>
      <c r="U61" s="230">
        <f>IF(ISERROR(R61*J61),0,R61*J61)</f>
        <v>0</v>
      </c>
      <c r="V61" s="222">
        <f>IF(AND(A61="",F61=0),"",IF(F61=0,"Il manque le(s) % de rec. !",""))</f>
      </c>
      <c r="W61" s="223" t="s">
        <v>55</v>
      </c>
      <c r="Y61" s="22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5"/>
      <c r="AB61" s="226"/>
      <c r="AC61" s="226"/>
      <c r="BB61" s="8">
        <f>IF(A61="","",1)</f>
      </c>
    </row>
    <row r="62" spans="1:54" ht="12.75">
      <c r="A62" s="238" t="s">
        <v>55</v>
      </c>
      <c r="B62" s="239"/>
      <c r="C62" s="240"/>
      <c r="D62" s="21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7">
        <f>IF(D62="",,VLOOKUP(D62,D$22:D61,1,0))</f>
        <v>0</v>
      </c>
      <c r="F62" s="236">
        <f>($B62*$B$7+$C62*$C$7)/100</f>
        <v>0</v>
      </c>
      <c r="G62" s="21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9"/>
      <c r="M62" s="229"/>
      <c r="N62" s="229"/>
      <c r="O62" s="219"/>
      <c r="P62" s="21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0">
        <f>IF(ISTEXT(H62),"",(B62*$B$7/100)+(C62*$C$7/100))</f>
      </c>
      <c r="R62" s="221">
        <f>IF(OR(ISTEXT(H62),Q62=0),"",IF(Q62&lt;0.1,1,IF(Q62&lt;1,2,IF(Q62&lt;10,3,IF(Q62&lt;50,4,IF(Q62&gt;=50,5,""))))))</f>
      </c>
      <c r="S62" s="221">
        <f>IF(ISERROR(R62*I62),0,R62*I62)</f>
        <v>0</v>
      </c>
      <c r="T62" s="221">
        <f>IF(ISERROR(R62*I62*J62),0,R62*I62*J62)</f>
        <v>0</v>
      </c>
      <c r="U62" s="230">
        <f>IF(ISERROR(R62*J62),0,R62*J62)</f>
        <v>0</v>
      </c>
      <c r="V62" s="222">
        <f>IF(AND(A62="",F62=0),"",IF(F62=0,"Il manque le(s) % de rec. !",""))</f>
      </c>
      <c r="W62" s="223" t="s">
        <v>55</v>
      </c>
      <c r="X62" s="223"/>
      <c r="Y62" s="22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5"/>
      <c r="AB62" s="226"/>
      <c r="AC62" s="226"/>
      <c r="BB62" s="8">
        <f>IF(A62="","",1)</f>
      </c>
    </row>
    <row r="63" spans="1:54" ht="12.75" hidden="1">
      <c r="A63" s="238" t="s">
        <v>55</v>
      </c>
      <c r="B63" s="239"/>
      <c r="C63" s="240"/>
      <c r="D63" s="21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7">
        <f>IF(D63="",,VLOOKUP(D63,D$22:D62,1,0))</f>
        <v>0</v>
      </c>
      <c r="F63" s="236">
        <f aca="true" t="shared" si="0" ref="F63:F90">($B63*$B$7+$C63*$C$7)/100</f>
        <v>0</v>
      </c>
      <c r="G63" s="244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5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9"/>
      <c r="M63" s="229"/>
      <c r="N63" s="229"/>
      <c r="O63" s="219"/>
      <c r="P63" s="21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0">
        <f aca="true" t="shared" si="1" ref="Q63:Q90">IF(ISTEXT(H63),"",(B63*$B$7/100)+(C63*$C$7/100))</f>
      </c>
      <c r="R63" s="221">
        <f aca="true" t="shared" si="2" ref="R63:R90">IF(OR(ISTEXT(H63),Q63=0),"",IF(Q63&lt;0.1,1,IF(Q63&lt;1,2,IF(Q63&lt;10,3,IF(Q63&lt;50,4,IF(Q63&gt;=50,5,""))))))</f>
      </c>
      <c r="S63" s="221">
        <f aca="true" t="shared" si="3" ref="S63:S90">IF(ISERROR(R63*I63),0,R63*I63)</f>
        <v>0</v>
      </c>
      <c r="T63" s="221">
        <f aca="true" t="shared" si="4" ref="T63:T90">IF(ISERROR(R63*I63*J63),0,R63*I63*J63)</f>
        <v>0</v>
      </c>
      <c r="U63" s="230">
        <f aca="true" t="shared" si="5" ref="U63:U90">IF(ISERROR(R63*J63),0,R63*J63)</f>
        <v>0</v>
      </c>
      <c r="V63" s="222">
        <f aca="true" t="shared" si="6" ref="V63:V90">IF(AND(A63="",F63=0),"",IF(F63=0,"Il manque le(s) % de rec. !",""))</f>
      </c>
      <c r="W63" s="223" t="s">
        <v>55</v>
      </c>
      <c r="Y63" s="22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5"/>
      <c r="AB63" s="226"/>
      <c r="AC63" s="226"/>
      <c r="BB63" s="8">
        <f aca="true" t="shared" si="7" ref="BB63:BB90">IF(A63="","",1)</f>
      </c>
    </row>
    <row r="64" spans="1:54" ht="12.75" customHeight="1" hidden="1">
      <c r="A64" s="238" t="s">
        <v>55</v>
      </c>
      <c r="B64" s="239"/>
      <c r="C64" s="240"/>
      <c r="D64" s="21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7">
        <f>IF(D64="",,VLOOKUP(D64,D$22:D52,1,0))</f>
        <v>0</v>
      </c>
      <c r="F64" s="236">
        <f t="shared" si="0"/>
        <v>0</v>
      </c>
      <c r="G64" s="246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7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9"/>
      <c r="M64" s="229"/>
      <c r="N64" s="229"/>
      <c r="O64" s="219"/>
      <c r="P64" s="21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0">
        <f t="shared" si="1"/>
      </c>
      <c r="R64" s="221">
        <f t="shared" si="2"/>
      </c>
      <c r="S64" s="221">
        <f t="shared" si="3"/>
        <v>0</v>
      </c>
      <c r="T64" s="221">
        <f t="shared" si="4"/>
        <v>0</v>
      </c>
      <c r="U64" s="230">
        <f t="shared" si="5"/>
        <v>0</v>
      </c>
      <c r="V64" s="222">
        <f t="shared" si="6"/>
      </c>
      <c r="W64" s="223" t="s">
        <v>55</v>
      </c>
      <c r="Y64" s="22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5"/>
      <c r="AB64" s="226"/>
      <c r="AC64" s="226"/>
      <c r="BB64" s="8">
        <f t="shared" si="7"/>
      </c>
    </row>
    <row r="65" spans="1:54" ht="12.75" hidden="1">
      <c r="A65" s="238" t="s">
        <v>55</v>
      </c>
      <c r="B65" s="239"/>
      <c r="C65" s="240"/>
      <c r="D65" s="21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7">
        <f>IF(D65="",,VLOOKUP(D65,D$22:D53,1,0))</f>
        <v>0</v>
      </c>
      <c r="F65" s="236">
        <f t="shared" si="0"/>
        <v>0</v>
      </c>
      <c r="G65" s="246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7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9"/>
      <c r="M65" s="229"/>
      <c r="N65" s="229"/>
      <c r="O65" s="219"/>
      <c r="P65" s="21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0">
        <f t="shared" si="1"/>
      </c>
      <c r="R65" s="221">
        <f t="shared" si="2"/>
      </c>
      <c r="S65" s="221">
        <f t="shared" si="3"/>
        <v>0</v>
      </c>
      <c r="T65" s="221">
        <f t="shared" si="4"/>
        <v>0</v>
      </c>
      <c r="U65" s="230">
        <f t="shared" si="5"/>
        <v>0</v>
      </c>
      <c r="V65" s="222">
        <f t="shared" si="6"/>
      </c>
      <c r="W65" s="223" t="s">
        <v>55</v>
      </c>
      <c r="Y65" s="22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5"/>
      <c r="AB65" s="226"/>
      <c r="AC65" s="226"/>
      <c r="BB65" s="8">
        <f t="shared" si="7"/>
      </c>
    </row>
    <row r="66" spans="1:54" ht="12.75" hidden="1">
      <c r="A66" s="238" t="s">
        <v>55</v>
      </c>
      <c r="B66" s="239"/>
      <c r="C66" s="240"/>
      <c r="D66" s="21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7">
        <f>IF(D66="",,VLOOKUP(D66,D$22:D51,1,0))</f>
        <v>0</v>
      </c>
      <c r="F66" s="236">
        <f t="shared" si="0"/>
        <v>0</v>
      </c>
      <c r="G66" s="246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7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9"/>
      <c r="M66" s="229"/>
      <c r="N66" s="229"/>
      <c r="O66" s="219"/>
      <c r="P66" s="21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0">
        <f t="shared" si="1"/>
      </c>
      <c r="R66" s="221">
        <f t="shared" si="2"/>
      </c>
      <c r="S66" s="221">
        <f t="shared" si="3"/>
        <v>0</v>
      </c>
      <c r="T66" s="221">
        <f t="shared" si="4"/>
        <v>0</v>
      </c>
      <c r="U66" s="230">
        <f t="shared" si="5"/>
        <v>0</v>
      </c>
      <c r="V66" s="222">
        <f t="shared" si="6"/>
      </c>
      <c r="W66" s="223" t="s">
        <v>55</v>
      </c>
      <c r="Y66" s="22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5"/>
      <c r="AB66" s="226"/>
      <c r="AC66" s="226"/>
      <c r="BB66" s="8">
        <f t="shared" si="7"/>
      </c>
    </row>
    <row r="67" spans="1:54" ht="12.75" hidden="1">
      <c r="A67" s="238" t="s">
        <v>55</v>
      </c>
      <c r="B67" s="239"/>
      <c r="C67" s="240"/>
      <c r="D67" s="21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7">
        <f>IF(D67="",,VLOOKUP(D67,D$22:D52,1,0))</f>
        <v>0</v>
      </c>
      <c r="F67" s="236">
        <f t="shared" si="0"/>
        <v>0</v>
      </c>
      <c r="G67" s="246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7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9"/>
      <c r="M67" s="229"/>
      <c r="N67" s="229"/>
      <c r="O67" s="219"/>
      <c r="P67" s="21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0">
        <f t="shared" si="1"/>
      </c>
      <c r="R67" s="221">
        <f t="shared" si="2"/>
      </c>
      <c r="S67" s="221">
        <f t="shared" si="3"/>
        <v>0</v>
      </c>
      <c r="T67" s="221">
        <f t="shared" si="4"/>
        <v>0</v>
      </c>
      <c r="U67" s="230">
        <f t="shared" si="5"/>
        <v>0</v>
      </c>
      <c r="V67" s="222">
        <f t="shared" si="6"/>
      </c>
      <c r="W67" s="223" t="s">
        <v>55</v>
      </c>
      <c r="Y67" s="22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5"/>
      <c r="AB67" s="226"/>
      <c r="AC67" s="226"/>
      <c r="BB67" s="8">
        <f t="shared" si="7"/>
      </c>
    </row>
    <row r="68" spans="1:54" ht="12.75" hidden="1">
      <c r="A68" s="238" t="s">
        <v>55</v>
      </c>
      <c r="B68" s="239"/>
      <c r="C68" s="240"/>
      <c r="D68" s="21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7">
        <f>IF(D68="",,VLOOKUP(D68,D$22:D53,1,0))</f>
        <v>0</v>
      </c>
      <c r="F68" s="236">
        <f t="shared" si="0"/>
        <v>0</v>
      </c>
      <c r="G68" s="246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7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9"/>
      <c r="M68" s="229"/>
      <c r="N68" s="229"/>
      <c r="O68" s="219"/>
      <c r="P68" s="21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0">
        <f t="shared" si="1"/>
      </c>
      <c r="R68" s="221">
        <f t="shared" si="2"/>
      </c>
      <c r="S68" s="221">
        <f t="shared" si="3"/>
        <v>0</v>
      </c>
      <c r="T68" s="221">
        <f t="shared" si="4"/>
        <v>0</v>
      </c>
      <c r="U68" s="230">
        <f t="shared" si="5"/>
        <v>0</v>
      </c>
      <c r="V68" s="222">
        <f t="shared" si="6"/>
      </c>
      <c r="W68" s="223" t="s">
        <v>55</v>
      </c>
      <c r="Y68" s="22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5"/>
      <c r="AB68" s="226"/>
      <c r="AC68" s="226"/>
      <c r="BB68" s="8">
        <f t="shared" si="7"/>
      </c>
    </row>
    <row r="69" spans="1:54" ht="12.75" hidden="1">
      <c r="A69" s="238" t="s">
        <v>55</v>
      </c>
      <c r="B69" s="239"/>
      <c r="C69" s="240"/>
      <c r="D69" s="21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7">
        <f>IF(D69="",,VLOOKUP(D69,D$22:D54,1,0))</f>
        <v>0</v>
      </c>
      <c r="F69" s="236">
        <f t="shared" si="0"/>
        <v>0</v>
      </c>
      <c r="G69" s="246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7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9"/>
      <c r="M69" s="229"/>
      <c r="N69" s="229"/>
      <c r="O69" s="219"/>
      <c r="P69" s="21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0">
        <f t="shared" si="1"/>
      </c>
      <c r="R69" s="221">
        <f t="shared" si="2"/>
      </c>
      <c r="S69" s="221">
        <f t="shared" si="3"/>
        <v>0</v>
      </c>
      <c r="T69" s="221">
        <f t="shared" si="4"/>
        <v>0</v>
      </c>
      <c r="U69" s="230">
        <f t="shared" si="5"/>
        <v>0</v>
      </c>
      <c r="V69" s="222">
        <f t="shared" si="6"/>
      </c>
      <c r="W69" s="223" t="s">
        <v>55</v>
      </c>
      <c r="Y69" s="22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5"/>
      <c r="AB69" s="226"/>
      <c r="AC69" s="226"/>
      <c r="BB69" s="8">
        <f t="shared" si="7"/>
      </c>
    </row>
    <row r="70" spans="1:54" ht="12.75" hidden="1">
      <c r="A70" s="238" t="s">
        <v>55</v>
      </c>
      <c r="B70" s="239"/>
      <c r="C70" s="240"/>
      <c r="D70" s="21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7">
        <f>IF(D70="",,VLOOKUP(D70,D$22:D55,1,0))</f>
        <v>0</v>
      </c>
      <c r="F70" s="236">
        <f t="shared" si="0"/>
        <v>0</v>
      </c>
      <c r="G70" s="246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7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9"/>
      <c r="M70" s="229"/>
      <c r="N70" s="229"/>
      <c r="O70" s="219"/>
      <c r="P70" s="21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0">
        <f t="shared" si="1"/>
      </c>
      <c r="R70" s="221">
        <f t="shared" si="2"/>
      </c>
      <c r="S70" s="221">
        <f t="shared" si="3"/>
        <v>0</v>
      </c>
      <c r="T70" s="221">
        <f t="shared" si="4"/>
        <v>0</v>
      </c>
      <c r="U70" s="230">
        <f t="shared" si="5"/>
        <v>0</v>
      </c>
      <c r="V70" s="222">
        <f t="shared" si="6"/>
      </c>
      <c r="W70" s="223" t="s">
        <v>55</v>
      </c>
      <c r="Y70" s="22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5"/>
      <c r="AB70" s="226"/>
      <c r="AC70" s="226"/>
      <c r="BB70" s="8">
        <f t="shared" si="7"/>
      </c>
    </row>
    <row r="71" spans="1:54" ht="12.75" hidden="1">
      <c r="A71" s="238" t="s">
        <v>55</v>
      </c>
      <c r="B71" s="239"/>
      <c r="C71" s="240"/>
      <c r="D71" s="21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7">
        <f>IF(D71="",,VLOOKUP(D71,D$22:D56,1,0))</f>
        <v>0</v>
      </c>
      <c r="F71" s="236">
        <f t="shared" si="0"/>
        <v>0</v>
      </c>
      <c r="G71" s="246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7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9"/>
      <c r="M71" s="229"/>
      <c r="N71" s="229"/>
      <c r="O71" s="219"/>
      <c r="P71" s="21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0">
        <f t="shared" si="1"/>
      </c>
      <c r="R71" s="221">
        <f t="shared" si="2"/>
      </c>
      <c r="S71" s="221">
        <f t="shared" si="3"/>
        <v>0</v>
      </c>
      <c r="T71" s="221">
        <f t="shared" si="4"/>
        <v>0</v>
      </c>
      <c r="U71" s="230">
        <f t="shared" si="5"/>
        <v>0</v>
      </c>
      <c r="V71" s="222">
        <f t="shared" si="6"/>
      </c>
      <c r="W71" s="223" t="s">
        <v>55</v>
      </c>
      <c r="Y71" s="22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5"/>
      <c r="AB71" s="226"/>
      <c r="AC71" s="226"/>
      <c r="BB71" s="8">
        <f t="shared" si="7"/>
      </c>
    </row>
    <row r="72" spans="1:54" ht="12.75" hidden="1">
      <c r="A72" s="238" t="s">
        <v>55</v>
      </c>
      <c r="B72" s="239"/>
      <c r="C72" s="240"/>
      <c r="D72" s="21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7">
        <f>IF(D72="",,VLOOKUP(D72,D$22:D57,1,0))</f>
        <v>0</v>
      </c>
      <c r="F72" s="236">
        <f t="shared" si="0"/>
        <v>0</v>
      </c>
      <c r="G72" s="246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7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9"/>
      <c r="M72" s="229"/>
      <c r="N72" s="229"/>
      <c r="O72" s="219"/>
      <c r="P72" s="21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0">
        <f t="shared" si="1"/>
      </c>
      <c r="R72" s="221">
        <f t="shared" si="2"/>
      </c>
      <c r="S72" s="221">
        <f t="shared" si="3"/>
        <v>0</v>
      </c>
      <c r="T72" s="221">
        <f t="shared" si="4"/>
        <v>0</v>
      </c>
      <c r="U72" s="230">
        <f t="shared" si="5"/>
        <v>0</v>
      </c>
      <c r="V72" s="222">
        <f t="shared" si="6"/>
      </c>
      <c r="W72" s="223" t="s">
        <v>55</v>
      </c>
      <c r="Y72" s="22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5"/>
      <c r="AB72" s="226"/>
      <c r="AC72" s="226"/>
      <c r="BB72" s="8">
        <f t="shared" si="7"/>
      </c>
    </row>
    <row r="73" spans="1:54" ht="12.75" hidden="1">
      <c r="A73" s="238" t="s">
        <v>55</v>
      </c>
      <c r="B73" s="239"/>
      <c r="C73" s="240"/>
      <c r="D73" s="21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7">
        <f>IF(D73="",,VLOOKUP(D73,D$22:D57,1,0))</f>
        <v>0</v>
      </c>
      <c r="F73" s="236">
        <f t="shared" si="0"/>
        <v>0</v>
      </c>
      <c r="G73" s="246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7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9"/>
      <c r="M73" s="229"/>
      <c r="N73" s="229"/>
      <c r="O73" s="219"/>
      <c r="P73" s="21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0">
        <f t="shared" si="1"/>
      </c>
      <c r="R73" s="221">
        <f t="shared" si="2"/>
      </c>
      <c r="S73" s="221">
        <f t="shared" si="3"/>
        <v>0</v>
      </c>
      <c r="T73" s="221">
        <f t="shared" si="4"/>
        <v>0</v>
      </c>
      <c r="U73" s="230">
        <f t="shared" si="5"/>
        <v>0</v>
      </c>
      <c r="V73" s="222">
        <f t="shared" si="6"/>
      </c>
      <c r="W73" s="223" t="s">
        <v>55</v>
      </c>
      <c r="Y73" s="22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5"/>
      <c r="AB73" s="226"/>
      <c r="AC73" s="226"/>
      <c r="BB73" s="8">
        <f t="shared" si="7"/>
      </c>
    </row>
    <row r="74" spans="1:54" ht="12.75" hidden="1">
      <c r="A74" s="238" t="s">
        <v>55</v>
      </c>
      <c r="B74" s="239"/>
      <c r="C74" s="240"/>
      <c r="D74" s="21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7">
        <f>IF(D74="",,VLOOKUP(D74,D$22:D58,1,0))</f>
        <v>0</v>
      </c>
      <c r="F74" s="236">
        <f t="shared" si="0"/>
        <v>0</v>
      </c>
      <c r="G74" s="246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7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9"/>
      <c r="M74" s="229"/>
      <c r="N74" s="229"/>
      <c r="O74" s="219"/>
      <c r="P74" s="21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0">
        <f t="shared" si="1"/>
      </c>
      <c r="R74" s="221">
        <f t="shared" si="2"/>
      </c>
      <c r="S74" s="221">
        <f t="shared" si="3"/>
        <v>0</v>
      </c>
      <c r="T74" s="221">
        <f t="shared" si="4"/>
        <v>0</v>
      </c>
      <c r="U74" s="230">
        <f t="shared" si="5"/>
        <v>0</v>
      </c>
      <c r="V74" s="222">
        <f t="shared" si="6"/>
      </c>
      <c r="W74" s="223" t="s">
        <v>55</v>
      </c>
      <c r="Y74" s="22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5"/>
      <c r="AB74" s="226"/>
      <c r="AC74" s="226"/>
      <c r="BB74" s="8">
        <f t="shared" si="7"/>
      </c>
    </row>
    <row r="75" spans="1:54" ht="12.75" hidden="1">
      <c r="A75" s="238" t="s">
        <v>55</v>
      </c>
      <c r="B75" s="239"/>
      <c r="C75" s="240"/>
      <c r="D75" s="21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7">
        <f>IF(D75="",,VLOOKUP(D75,D$22:D59,1,0))</f>
        <v>0</v>
      </c>
      <c r="F75" s="236">
        <f t="shared" si="0"/>
        <v>0</v>
      </c>
      <c r="G75" s="246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7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9"/>
      <c r="M75" s="229"/>
      <c r="N75" s="229"/>
      <c r="O75" s="219"/>
      <c r="P75" s="21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0">
        <f t="shared" si="1"/>
      </c>
      <c r="R75" s="221">
        <f t="shared" si="2"/>
      </c>
      <c r="S75" s="221">
        <f t="shared" si="3"/>
        <v>0</v>
      </c>
      <c r="T75" s="221">
        <f t="shared" si="4"/>
        <v>0</v>
      </c>
      <c r="U75" s="230">
        <f t="shared" si="5"/>
        <v>0</v>
      </c>
      <c r="V75" s="222">
        <f t="shared" si="6"/>
      </c>
      <c r="W75" s="223" t="s">
        <v>55</v>
      </c>
      <c r="Y75" s="22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5"/>
      <c r="AB75" s="226"/>
      <c r="AC75" s="226"/>
      <c r="BB75" s="8">
        <f t="shared" si="7"/>
      </c>
    </row>
    <row r="76" spans="1:54" ht="12.75" hidden="1">
      <c r="A76" s="238" t="s">
        <v>55</v>
      </c>
      <c r="B76" s="239"/>
      <c r="C76" s="240"/>
      <c r="D76" s="21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7">
        <f>IF(D76="",,VLOOKUP(D76,D$22:D59,1,0))</f>
        <v>0</v>
      </c>
      <c r="F76" s="236">
        <f t="shared" si="0"/>
        <v>0</v>
      </c>
      <c r="G76" s="246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7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9"/>
      <c r="M76" s="229"/>
      <c r="N76" s="229"/>
      <c r="O76" s="219"/>
      <c r="P76" s="21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0">
        <f t="shared" si="1"/>
      </c>
      <c r="R76" s="221">
        <f t="shared" si="2"/>
      </c>
      <c r="S76" s="221">
        <f t="shared" si="3"/>
        <v>0</v>
      </c>
      <c r="T76" s="221">
        <f t="shared" si="4"/>
        <v>0</v>
      </c>
      <c r="U76" s="230">
        <f t="shared" si="5"/>
        <v>0</v>
      </c>
      <c r="V76" s="222">
        <f t="shared" si="6"/>
      </c>
      <c r="W76" s="223" t="s">
        <v>55</v>
      </c>
      <c r="Y76" s="22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5"/>
      <c r="AB76" s="226"/>
      <c r="AC76" s="226"/>
      <c r="BB76" s="8">
        <f t="shared" si="7"/>
      </c>
    </row>
    <row r="77" spans="1:54" ht="12.75" hidden="1">
      <c r="A77" s="238" t="s">
        <v>55</v>
      </c>
      <c r="B77" s="239"/>
      <c r="C77" s="240"/>
      <c r="D77" s="21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7">
        <f>IF(D77="",,VLOOKUP(D77,D$22:D75,1,0))</f>
        <v>0</v>
      </c>
      <c r="F77" s="236">
        <f t="shared" si="0"/>
        <v>0</v>
      </c>
      <c r="G77" s="246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7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9"/>
      <c r="M77" s="229"/>
      <c r="N77" s="229"/>
      <c r="O77" s="219"/>
      <c r="P77" s="21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0">
        <f t="shared" si="1"/>
      </c>
      <c r="R77" s="221">
        <f t="shared" si="2"/>
      </c>
      <c r="S77" s="221">
        <f t="shared" si="3"/>
        <v>0</v>
      </c>
      <c r="T77" s="221">
        <f t="shared" si="4"/>
        <v>0</v>
      </c>
      <c r="U77" s="230">
        <f t="shared" si="5"/>
        <v>0</v>
      </c>
      <c r="V77" s="222">
        <f t="shared" si="6"/>
      </c>
      <c r="W77" s="223" t="s">
        <v>55</v>
      </c>
      <c r="Y77" s="22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5"/>
      <c r="AB77" s="226"/>
      <c r="AC77" s="226"/>
      <c r="BB77" s="8">
        <f t="shared" si="7"/>
      </c>
    </row>
    <row r="78" spans="1:54" ht="12.75" hidden="1">
      <c r="A78" s="238" t="s">
        <v>55</v>
      </c>
      <c r="B78" s="239"/>
      <c r="C78" s="240"/>
      <c r="D78" s="21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7">
        <f>IF(D78="",,VLOOKUP(D78,D$22:D75,1,0))</f>
        <v>0</v>
      </c>
      <c r="F78" s="236">
        <f t="shared" si="0"/>
        <v>0</v>
      </c>
      <c r="G78" s="246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7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9"/>
      <c r="M78" s="229"/>
      <c r="N78" s="229"/>
      <c r="O78" s="219"/>
      <c r="P78" s="21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0">
        <f t="shared" si="1"/>
      </c>
      <c r="R78" s="221">
        <f t="shared" si="2"/>
      </c>
      <c r="S78" s="221">
        <f t="shared" si="3"/>
        <v>0</v>
      </c>
      <c r="T78" s="221">
        <f t="shared" si="4"/>
        <v>0</v>
      </c>
      <c r="U78" s="230">
        <f t="shared" si="5"/>
        <v>0</v>
      </c>
      <c r="V78" s="222">
        <f t="shared" si="6"/>
      </c>
      <c r="W78" s="223" t="s">
        <v>55</v>
      </c>
      <c r="Y78" s="22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5"/>
      <c r="AB78" s="226"/>
      <c r="AC78" s="226"/>
      <c r="BB78" s="8">
        <f t="shared" si="7"/>
      </c>
    </row>
    <row r="79" spans="1:54" ht="12.75" hidden="1">
      <c r="A79" s="238" t="s">
        <v>55</v>
      </c>
      <c r="B79" s="239"/>
      <c r="C79" s="240"/>
      <c r="D79" s="21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7">
        <f>IF(D79="",,VLOOKUP(D79,D$22:D75,1,0))</f>
        <v>0</v>
      </c>
      <c r="F79" s="236">
        <f t="shared" si="0"/>
        <v>0</v>
      </c>
      <c r="G79" s="246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7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9"/>
      <c r="M79" s="229"/>
      <c r="N79" s="229"/>
      <c r="O79" s="219"/>
      <c r="P79" s="21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0">
        <f t="shared" si="1"/>
      </c>
      <c r="R79" s="221">
        <f t="shared" si="2"/>
      </c>
      <c r="S79" s="221">
        <f t="shared" si="3"/>
        <v>0</v>
      </c>
      <c r="T79" s="221">
        <f t="shared" si="4"/>
        <v>0</v>
      </c>
      <c r="U79" s="230">
        <f t="shared" si="5"/>
        <v>0</v>
      </c>
      <c r="V79" s="222">
        <f t="shared" si="6"/>
      </c>
      <c r="W79" s="223" t="s">
        <v>55</v>
      </c>
      <c r="Y79" s="22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5"/>
      <c r="AB79" s="226"/>
      <c r="AC79" s="226"/>
      <c r="BB79" s="8">
        <f t="shared" si="7"/>
      </c>
    </row>
    <row r="80" spans="1:54" ht="12.75" hidden="1">
      <c r="A80" s="238" t="s">
        <v>55</v>
      </c>
      <c r="B80" s="239"/>
      <c r="C80" s="240"/>
      <c r="D80" s="21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7">
        <f>IF(D80="",,VLOOKUP(D80,D$22:D79,1,0))</f>
        <v>0</v>
      </c>
      <c r="F80" s="236">
        <f t="shared" si="0"/>
        <v>0</v>
      </c>
      <c r="G80" s="246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7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9"/>
      <c r="M80" s="229"/>
      <c r="N80" s="229"/>
      <c r="O80" s="219"/>
      <c r="P80" s="21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0">
        <f t="shared" si="1"/>
      </c>
      <c r="R80" s="221">
        <f t="shared" si="2"/>
      </c>
      <c r="S80" s="221">
        <f t="shared" si="3"/>
        <v>0</v>
      </c>
      <c r="T80" s="221">
        <f t="shared" si="4"/>
        <v>0</v>
      </c>
      <c r="U80" s="230">
        <f t="shared" si="5"/>
        <v>0</v>
      </c>
      <c r="V80" s="222">
        <f t="shared" si="6"/>
      </c>
      <c r="W80" s="223" t="s">
        <v>55</v>
      </c>
      <c r="Y80" s="22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5"/>
      <c r="AB80" s="226"/>
      <c r="AC80" s="226"/>
      <c r="BB80" s="8">
        <f t="shared" si="7"/>
      </c>
    </row>
    <row r="81" spans="1:54" ht="12.75" hidden="1">
      <c r="A81" s="238" t="s">
        <v>55</v>
      </c>
      <c r="B81" s="239"/>
      <c r="C81" s="240"/>
      <c r="D81" s="21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7">
        <f>IF(D81="",,VLOOKUP(D81,D$21:D80,1,0))</f>
        <v>0</v>
      </c>
      <c r="F81" s="236">
        <f t="shared" si="0"/>
        <v>0</v>
      </c>
      <c r="G81" s="246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7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42"/>
      <c r="M81" s="242"/>
      <c r="N81" s="242"/>
      <c r="O81" s="219"/>
      <c r="P81" s="21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0">
        <f t="shared" si="1"/>
      </c>
      <c r="R81" s="221">
        <f t="shared" si="2"/>
      </c>
      <c r="S81" s="221">
        <f t="shared" si="3"/>
        <v>0</v>
      </c>
      <c r="T81" s="221">
        <f t="shared" si="4"/>
        <v>0</v>
      </c>
      <c r="U81" s="230">
        <f t="shared" si="5"/>
        <v>0</v>
      </c>
      <c r="V81" s="222">
        <f t="shared" si="6"/>
      </c>
      <c r="W81" s="223" t="s">
        <v>55</v>
      </c>
      <c r="X81" s="248"/>
      <c r="Y81" s="22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5"/>
      <c r="AB81" s="226"/>
      <c r="AC81" s="226"/>
      <c r="BB81" s="8">
        <f t="shared" si="7"/>
      </c>
    </row>
    <row r="82" spans="1:54" ht="12.75" hidden="1">
      <c r="A82" s="249" t="s">
        <v>55</v>
      </c>
      <c r="B82" s="250"/>
      <c r="C82" s="251"/>
      <c r="D82" s="252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53">
        <f>IF(D82="",,VLOOKUP(D82,D$20:D80,1,0))</f>
        <v>0</v>
      </c>
      <c r="F82" s="254">
        <f t="shared" si="0"/>
        <v>0</v>
      </c>
      <c r="G82" s="255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6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7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8"/>
      <c r="M82" s="258"/>
      <c r="N82" s="258"/>
      <c r="O82" s="259"/>
      <c r="P82" s="260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0">
        <f t="shared" si="1"/>
      </c>
      <c r="R82" s="221">
        <f t="shared" si="2"/>
      </c>
      <c r="S82" s="221">
        <f t="shared" si="3"/>
        <v>0</v>
      </c>
      <c r="T82" s="221">
        <f t="shared" si="4"/>
        <v>0</v>
      </c>
      <c r="U82" s="230">
        <f t="shared" si="5"/>
        <v>0</v>
      </c>
      <c r="V82" s="222">
        <f t="shared" si="6"/>
      </c>
      <c r="W82" s="261" t="s">
        <v>55</v>
      </c>
      <c r="X82" s="262"/>
      <c r="Y82" s="22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5"/>
      <c r="AB82" s="226"/>
      <c r="AC82" s="226"/>
      <c r="BB82" s="8">
        <f t="shared" si="7"/>
      </c>
    </row>
    <row r="83" spans="1:30" ht="15" hidden="1">
      <c r="A83" s="263" t="s">
        <v>94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1"/>
      <c r="N83" s="221"/>
      <c r="O83" s="221"/>
      <c r="P83" s="264"/>
      <c r="Q83" s="264"/>
      <c r="R83" s="264"/>
      <c r="S83" s="264"/>
      <c r="T83" s="8"/>
      <c r="U83" s="8"/>
      <c r="V83" s="264"/>
      <c r="W83" s="264"/>
      <c r="X83" s="264"/>
      <c r="Y83" s="265"/>
      <c r="Z83" s="265"/>
      <c r="AA83" s="266"/>
      <c r="AB83" s="267"/>
      <c r="AC83" s="267"/>
      <c r="AD83" s="267"/>
    </row>
    <row r="84" spans="1:30" ht="12.75" hidden="1">
      <c r="A84" s="268" t="str">
        <f>A3</f>
        <v>ARDECHE</v>
      </c>
      <c r="B84" s="269" t="str">
        <f>C3</f>
        <v>ARDECHE A VALLON PONT D'ARC</v>
      </c>
      <c r="C84" s="270">
        <f>A4</f>
        <v>41801</v>
      </c>
      <c r="D84" s="271">
        <f>IF(ISERROR(SUM($T$23:$T$82)/SUM($U$23:$U$82)),"",SUM($T$23:$T$82)/SUM($U$23:$U$82))</f>
        <v>10.91891891891892</v>
      </c>
      <c r="E84" s="272">
        <f>N13</f>
        <v>15</v>
      </c>
      <c r="F84" s="269">
        <f>N14</f>
        <v>14</v>
      </c>
      <c r="G84" s="269">
        <f>N15</f>
        <v>4</v>
      </c>
      <c r="H84" s="269">
        <f>N16</f>
        <v>9</v>
      </c>
      <c r="I84" s="269">
        <f>N17</f>
        <v>1</v>
      </c>
      <c r="J84" s="273">
        <f>N8</f>
        <v>10.357142857142858</v>
      </c>
      <c r="K84" s="271">
        <f>N9</f>
        <v>2.607876609075526</v>
      </c>
      <c r="L84" s="272">
        <f>N10</f>
        <v>6</v>
      </c>
      <c r="M84" s="272">
        <f>N11</f>
        <v>14</v>
      </c>
      <c r="N84" s="271">
        <f>O8</f>
        <v>1.7857142857142858</v>
      </c>
      <c r="O84" s="271">
        <f>O9</f>
        <v>0.5578749768504754</v>
      </c>
      <c r="P84" s="272">
        <f>O10</f>
        <v>1</v>
      </c>
      <c r="Q84" s="272">
        <f>O11</f>
        <v>3</v>
      </c>
      <c r="R84" s="272">
        <f>F21</f>
        <v>12.918</v>
      </c>
      <c r="S84" s="272">
        <f>K11</f>
        <v>0</v>
      </c>
      <c r="T84" s="272">
        <f>K12</f>
        <v>6</v>
      </c>
      <c r="U84" s="272">
        <f>K13</f>
        <v>2</v>
      </c>
      <c r="V84" s="274">
        <f>K14</f>
        <v>0</v>
      </c>
      <c r="W84" s="275">
        <f>K15</f>
        <v>6</v>
      </c>
      <c r="Z84" s="276"/>
      <c r="AA84" s="276"/>
      <c r="AB84" s="267"/>
      <c r="AC84" s="267"/>
      <c r="AD84" s="267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7" t="s">
        <v>95</v>
      </c>
      <c r="R86" s="8"/>
      <c r="S86" s="222"/>
      <c r="T86" s="8"/>
      <c r="U86" s="8"/>
      <c r="V86" s="8"/>
    </row>
    <row r="87" spans="16:22" ht="12.75" hidden="1">
      <c r="P87" s="8"/>
      <c r="Q87" s="8" t="s">
        <v>96</v>
      </c>
      <c r="R87" s="8"/>
      <c r="S87" s="222">
        <f>VLOOKUP(MAX($S$23:$S$82),($S$23:$U$82),1,0)</f>
        <v>39</v>
      </c>
      <c r="T87" s="8"/>
      <c r="U87" s="8"/>
      <c r="V87" s="8"/>
    </row>
    <row r="88" spans="16:22" ht="12.75" hidden="1">
      <c r="P88" s="8"/>
      <c r="Q88" s="8" t="s">
        <v>97</v>
      </c>
      <c r="R88" s="8"/>
      <c r="S88" s="222">
        <f>VLOOKUP((S87),($S$23:$U$82),2,0)</f>
        <v>78</v>
      </c>
      <c r="T88" s="8"/>
      <c r="U88" s="8"/>
      <c r="V88" s="8"/>
    </row>
    <row r="89" spans="17:20" ht="12.75" hidden="1">
      <c r="Q89" s="8" t="s">
        <v>98</v>
      </c>
      <c r="R89" s="8"/>
      <c r="S89" s="222">
        <f>VLOOKUP((S87),($S$23:$U$82),3,0)</f>
        <v>6</v>
      </c>
      <c r="T89" s="8"/>
    </row>
    <row r="90" spans="17:20" ht="12.75">
      <c r="Q90" s="8" t="s">
        <v>99</v>
      </c>
      <c r="R90" s="8"/>
      <c r="S90" s="278">
        <f>IF(ISERROR(SUM($T$23:$T$82)/SUM($U$23:$U$82)),"",(SUM($T$23:$T$82)-S88)/(SUM($U$23:$U$82)-S89))</f>
        <v>10.516129032258064</v>
      </c>
      <c r="T90" s="8"/>
    </row>
    <row r="91" spans="17:21" ht="12.75">
      <c r="Q91" s="221" t="s">
        <v>100</v>
      </c>
      <c r="R91" s="221"/>
      <c r="S91" s="221" t="str">
        <f>INDEX('[1]liste reference'!$A$8:$A$904,$T$91)</f>
        <v>PHOSPX</v>
      </c>
      <c r="T91" s="8">
        <f>IF(ISERROR(MATCH($S$93,'[1]liste reference'!$A$8:$A$904,0)),MATCH($S$93,'[1]liste reference'!$B$8:$B$904,0),(MATCH($S$93,'[1]liste reference'!$A$8:$A$904,0)))</f>
        <v>57</v>
      </c>
      <c r="U91" s="267"/>
    </row>
    <row r="92" spans="17:20" ht="12.75">
      <c r="Q92" s="8" t="s">
        <v>101</v>
      </c>
      <c r="R92" s="8"/>
      <c r="S92" s="8">
        <f>MATCH(S87,$S$23:$S$82,0)</f>
        <v>4</v>
      </c>
      <c r="T92" s="8"/>
    </row>
    <row r="93" spans="17:20" ht="12.75">
      <c r="Q93" s="221" t="s">
        <v>102</v>
      </c>
      <c r="R93" s="8"/>
      <c r="S93" s="221" t="str">
        <f>INDEX($A$23:$A$82,$S$92)</f>
        <v>PHOSPX</v>
      </c>
      <c r="T93" s="8"/>
    </row>
    <row r="94" ht="12.75">
      <c r="S94" s="267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35:A82">
    <cfRule type="expression" priority="6" dxfId="1" stopIfTrue="1">
      <formula>ISTEXT($E35)</formula>
    </cfRule>
  </conditionalFormatting>
  <conditionalFormatting sqref="H23:J82">
    <cfRule type="cellIs" priority="7" dxfId="0" operator="equal" stopIfTrue="1">
      <formula>"x"</formula>
    </cfRule>
  </conditionalFormatting>
  <conditionalFormatting sqref="W23:X23">
    <cfRule type="cellIs" priority="8" dxfId="1" operator="equal" stopIfTrue="1">
      <formula>"DEJA SAISI !"</formula>
    </cfRule>
    <cfRule type="cellIs" priority="9" dxfId="3" operator="equal" stopIfTrue="1">
      <formula>"non répertorié"</formula>
    </cfRule>
    <cfRule type="expression" priority="10" dxfId="2" stopIfTrue="1">
      <formula>AND(ISTEXT($G$23),ISBLANK($I$23))</formula>
    </cfRule>
  </conditionalFormatting>
  <conditionalFormatting sqref="L27:O82 O23:O26 K23:K82">
    <cfRule type="cellIs" priority="11" dxfId="3" operator="equal" stopIfTrue="1">
      <formula>"code non répertorié ou synonyme"</formula>
    </cfRule>
    <cfRule type="expression" priority="12" dxfId="2" stopIfTrue="1">
      <formula>AND($I23="",$J23="")</formula>
    </cfRule>
    <cfRule type="cellIs" priority="13" dxfId="1" operator="equal" stopIfTrue="1">
      <formula>"DEJA SAISI !"</formula>
    </cfRule>
  </conditionalFormatting>
  <conditionalFormatting sqref="A2">
    <cfRule type="cellIs" priority="14" dxfId="2" operator="between" stopIfTrue="1">
      <formula>"(organisme)"</formula>
      <formula>"(organisme)"</formula>
    </cfRule>
    <cfRule type="cellIs" priority="15" dxfId="5" operator="notBetween" stopIfTrue="1">
      <formula>"(organisme)"</formula>
      <formula>"(organisme)"</formula>
    </cfRule>
  </conditionalFormatting>
  <conditionalFormatting sqref="A3">
    <cfRule type="cellIs" priority="16" dxfId="2" operator="between" stopIfTrue="1">
      <formula>"(cours d'eau)"</formula>
      <formula>"(cours d'eau)"</formula>
    </cfRule>
    <cfRule type="cellIs" priority="17" dxfId="5" operator="notBetween" stopIfTrue="1">
      <formula>"(cours d'eau)"</formula>
      <formula>"(cours d'eau)"</formula>
    </cfRule>
  </conditionalFormatting>
  <conditionalFormatting sqref="A4">
    <cfRule type="cellIs" priority="18" dxfId="2" operator="between" stopIfTrue="1">
      <formula>"(Date)"</formula>
      <formula>"(Date)"</formula>
    </cfRule>
    <cfRule type="cellIs" priority="19" dxfId="5" operator="notBetween" stopIfTrue="1">
      <formula>"(Date)"</formula>
      <formula>"(Date)"</formula>
    </cfRule>
  </conditionalFormatting>
  <conditionalFormatting sqref="C2">
    <cfRule type="cellIs" priority="20" dxfId="2" operator="between" stopIfTrue="1">
      <formula>"(Opérateurs)"</formula>
      <formula>"(Opérateurs)"</formula>
    </cfRule>
    <cfRule type="cellIs" priority="21" dxfId="5" operator="notBetween" stopIfTrue="1">
      <formula>"(Opérateurs)"</formula>
      <formula>"(Opérateurs)"</formula>
    </cfRule>
  </conditionalFormatting>
  <conditionalFormatting sqref="C3">
    <cfRule type="cellIs" priority="22" dxfId="2" operator="between" stopIfTrue="1">
      <formula>"(Nom de la station)"</formula>
      <formula>"(Nom de la station)"</formula>
    </cfRule>
    <cfRule type="cellIs" priority="23" dxfId="5" operator="notBetween" stopIfTrue="1">
      <formula>"(Nom de la station)"</formula>
      <formula>"(Nom de la station)"</formula>
    </cfRule>
  </conditionalFormatting>
  <conditionalFormatting sqref="K3">
    <cfRule type="cellIs" priority="24" dxfId="2" operator="between" stopIfTrue="1">
      <formula>"(Code station)"</formula>
      <formula>"(Code station)"</formula>
    </cfRule>
    <cfRule type="cellIs" priority="25" dxfId="5" operator="notBetween" stopIfTrue="1">
      <formula>"(Code station)"</formula>
      <formula>"(Code station)"</formula>
    </cfRule>
  </conditionalFormatting>
  <conditionalFormatting sqref="M3">
    <cfRule type="cellIs" priority="26" dxfId="2" operator="between" stopIfTrue="1">
      <formula>"(Dossier, type réseau)"</formula>
      <formula>"(Dossier, type réseau)"</formula>
    </cfRule>
    <cfRule type="cellIs" priority="27" dxfId="5" operator="notBetween" stopIfTrue="1">
      <formula>"(Dossier, type réseau)"</formula>
      <formula>"(Dossier, type réseau)"</formula>
    </cfRule>
  </conditionalFormatting>
  <conditionalFormatting sqref="K23:K82">
    <cfRule type="cellIs" priority="5" dxfId="4" operator="equal" stopIfTrue="1">
      <formula>"Remplir le champs 'Nouveau taxa' svp."</formula>
    </cfRule>
  </conditionalFormatting>
  <conditionalFormatting sqref="P23:P82">
    <cfRule type="cellIs" priority="2" dxfId="3" operator="equal" stopIfTrue="1">
      <formula>"code non répertorié ou synonyme"</formula>
    </cfRule>
    <cfRule type="expression" priority="3" dxfId="2" stopIfTrue="1">
      <formula>AND($I23="",$J23="")</formula>
    </cfRule>
    <cfRule type="cellIs" priority="4" dxfId="1" operator="equal" stopIfTrue="1">
      <formula>"DEJA SAISI !"</formula>
    </cfRule>
  </conditionalFormatting>
  <conditionalFormatting sqref="B23:C34">
    <cfRule type="cellIs" priority="1" dxfId="0" operator="equal" stopIfTrue="1">
      <formula>0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2014-12-16T08:10:22Z</dcterms:created>
  <dcterms:modified xsi:type="dcterms:W3CDTF">2014-12-16T08:10:45Z</dcterms:modified>
  <cp:category/>
  <cp:version/>
  <cp:contentType/>
  <cp:contentStatus/>
</cp:coreProperties>
</file>