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</externalReferences>
  <definedNames>
    <definedName name="_xlfn.IFERROR" hidden="1">#NAME?</definedName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<sst xmlns="http://schemas.openxmlformats.org/spreadsheetml/2006/main" count="217" uniqueCount="93">
  <si>
    <t>Relevés floristiques aquatiques - IBMR</t>
  </si>
  <si>
    <t xml:space="preserve">Formulaire modèle GIS Macrophytes v 3.1.1 - janvier 2013  </t>
  </si>
  <si>
    <t>SAGE</t>
  </si>
  <si>
    <t>L.BOURGOIN C.BERNARD</t>
  </si>
  <si>
    <t>conforme AFNOR T90-395 oct. 2003</t>
  </si>
  <si>
    <t>Establet</t>
  </si>
  <si>
    <t>Establet à la Charce</t>
  </si>
  <si>
    <t>06116625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</si>
  <si>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</si>
  <si>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</si>
  <si>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</si>
  <si>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</si>
  <si>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</si>
  <si>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</si>
  <si>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</si>
  <si>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</si>
  <si>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JUGATR</t>
  </si>
  <si>
    <t>Faciès dominant</t>
  </si>
  <si>
    <t>pl. courant</t>
  </si>
  <si>
    <t>pl. lent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</si>
  <si>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</si>
  <si>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</si>
  <si>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</si>
  <si>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</si>
  <si>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</si>
  <si>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</si>
  <si>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</si>
  <si>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</si>
  <si>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</si>
  <si>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</si>
  <si>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</si>
  <si>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</si>
  <si>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</si>
  <si>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</si>
  <si>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</si>
  <si>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</si>
  <si>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</si>
  <si>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</si>
  <si>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</si>
  <si>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</si>
  <si>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</si>
  <si>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</si>
  <si>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</si>
  <si>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</si>
  <si>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</si>
  <si>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</si>
  <si>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</si>
  <si>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</si>
  <si>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</si>
  <si>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</si>
  <si>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</si>
  <si>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</si>
  <si>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</si>
  <si>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</si>
  <si>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</si>
  <si>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</si>
  <si>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</si>
  <si>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</si>
  <si>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</si>
  <si>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</si>
  <si>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</si>
  <si>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</si>
  <si>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</si>
  <si>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</si>
  <si>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</si>
  <si>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</si>
  <si>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</si>
  <si>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</si>
  <si>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</si>
  <si>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</si>
  <si>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</si>
  <si>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</si>
  <si>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</si>
  <si>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</si>
  <si>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</si>
  <si>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</si>
  <si>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</si>
  <si>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</si>
  <si>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PHOSPX</t>
  </si>
  <si>
    <t>TOYSPX</t>
  </si>
  <si>
    <t>PELEND</t>
  </si>
  <si>
    <t>DREFLU</t>
  </si>
  <si>
    <t>EUCVER</t>
  </si>
  <si>
    <t>SCSRIV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</si>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</sst>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41" borderId="32" xfId="0" applyNumberFormat="1" applyFont="1" applyFill="1" applyBorder="1" applyAlignment="1" applyProtection="1">
      <alignment horizontal="right" vertical="top"/>
      <protection hidden="1"/>
    </xf>
    <xf numFmtId="2" fontId="29" fillId="41" borderId="33" xfId="0" applyNumberFormat="1" applyFont="1" applyFill="1" applyBorder="1" applyAlignment="1" applyProtection="1">
      <alignment horizontal="left" vertical="top"/>
      <protection hidden="1"/>
    </xf>
    <xf numFmtId="2" fontId="30" fillId="41" borderId="24" xfId="0" applyNumberFormat="1" applyFont="1" applyFill="1" applyBorder="1" applyAlignment="1" applyProtection="1">
      <alignment horizontal="left" vertical="top"/>
      <protection hidden="1"/>
    </xf>
    <xf numFmtId="2" fontId="0" fillId="41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41" borderId="37" xfId="0" applyFont="1" applyFill="1" applyBorder="1" applyAlignment="1" applyProtection="1">
      <alignment horizontal="left"/>
      <protection hidden="1"/>
    </xf>
    <xf numFmtId="0" fontId="22" fillId="41" borderId="38" xfId="0" applyFont="1" applyFill="1" applyBorder="1" applyAlignment="1" applyProtection="1">
      <alignment horizontal="right" vertical="top"/>
      <protection hidden="1"/>
    </xf>
    <xf numFmtId="0" fontId="32" fillId="41" borderId="39" xfId="0" applyFont="1" applyFill="1" applyBorder="1" applyAlignment="1" applyProtection="1">
      <alignment horizontal="center" vertical="top"/>
      <protection hidden="1"/>
    </xf>
    <xf numFmtId="0" fontId="32" fillId="35" borderId="26" xfId="0" applyFont="1" applyFill="1" applyBorder="1" applyAlignment="1" applyProtection="1">
      <alignment horizontal="center" vertical="top"/>
      <protection hidden="1"/>
    </xf>
    <xf numFmtId="0" fontId="33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4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5" fillId="39" borderId="40" xfId="0" applyFont="1" applyFill="1" applyBorder="1" applyAlignment="1" applyProtection="1">
      <alignment horizontal="left" vertical="top"/>
      <protection hidden="1"/>
    </xf>
    <xf numFmtId="0" fontId="36" fillId="39" borderId="22" xfId="0" applyFont="1" applyFill="1" applyBorder="1" applyAlignment="1" applyProtection="1">
      <alignment horizontal="left" vertical="top"/>
      <protection hidden="1"/>
    </xf>
    <xf numFmtId="0" fontId="36" fillId="39" borderId="41" xfId="0" applyFont="1" applyFill="1" applyBorder="1" applyAlignment="1" applyProtection="1">
      <alignment horizontal="left" vertical="top"/>
      <protection hidden="1"/>
    </xf>
    <xf numFmtId="0" fontId="36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7" fillId="39" borderId="42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8" fillId="38" borderId="11" xfId="0" applyNumberFormat="1" applyFont="1" applyFill="1" applyBorder="1" applyAlignment="1" applyProtection="1">
      <alignment horizontal="right"/>
      <protection hidden="1"/>
    </xf>
    <xf numFmtId="165" fontId="38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26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3" xfId="0" applyNumberFormat="1" applyFont="1" applyFill="1" applyBorder="1" applyAlignment="1" applyProtection="1">
      <alignment horizontal="left"/>
      <protection hidden="1"/>
    </xf>
    <xf numFmtId="0" fontId="0" fillId="36" borderId="44" xfId="0" applyFill="1" applyBorder="1" applyAlignment="1" applyProtection="1">
      <alignment/>
      <protection hidden="1"/>
    </xf>
    <xf numFmtId="0" fontId="0" fillId="36" borderId="45" xfId="0" applyFill="1" applyBorder="1" applyAlignment="1" applyProtection="1">
      <alignment/>
      <protection hidden="1"/>
    </xf>
    <xf numFmtId="0" fontId="39" fillId="40" borderId="27" xfId="0" applyFont="1" applyFill="1" applyBorder="1" applyAlignment="1" applyProtection="1">
      <alignment/>
      <protection hidden="1"/>
    </xf>
    <xf numFmtId="0" fontId="0" fillId="42" borderId="15" xfId="0" applyNumberFormat="1" applyFont="1" applyFill="1" applyBorder="1" applyAlignment="1" applyProtection="1">
      <alignment horizontal="center"/>
      <protection locked="0"/>
    </xf>
    <xf numFmtId="2" fontId="0" fillId="42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6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7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7" xfId="0" applyFont="1" applyFill="1" applyBorder="1" applyAlignment="1" applyProtection="1">
      <alignment/>
      <protection hidden="1"/>
    </xf>
    <xf numFmtId="2" fontId="0" fillId="42" borderId="48" xfId="0" applyNumberFormat="1" applyFont="1" applyFill="1" applyBorder="1" applyAlignment="1" applyProtection="1">
      <alignment horizontal="center"/>
      <protection locked="0"/>
    </xf>
    <xf numFmtId="2" fontId="0" fillId="42" borderId="4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0" xfId="0" applyNumberFormat="1" applyFont="1" applyFill="1" applyBorder="1" applyAlignment="1" applyProtection="1">
      <alignment horizontal="center"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left"/>
      <protection hidden="1"/>
    </xf>
    <xf numFmtId="0" fontId="23" fillId="40" borderId="53" xfId="0" applyFont="1" applyFill="1" applyBorder="1" applyAlignment="1" applyProtection="1">
      <alignment/>
      <protection hidden="1"/>
    </xf>
    <xf numFmtId="2" fontId="0" fillId="42" borderId="54" xfId="0" applyNumberFormat="1" applyFont="1" applyFill="1" applyBorder="1" applyAlignment="1" applyProtection="1">
      <alignment horizontal="center"/>
      <protection locked="0"/>
    </xf>
    <xf numFmtId="2" fontId="0" fillId="42" borderId="55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5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6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6" xfId="0" applyNumberFormat="1" applyFont="1" applyFill="1" applyBorder="1" applyAlignment="1" applyProtection="1">
      <alignment horizontal="center"/>
      <protection hidden="1"/>
    </xf>
    <xf numFmtId="0" fontId="30" fillId="39" borderId="57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59" xfId="0" applyNumberFormat="1" applyFont="1" applyFill="1" applyBorder="1" applyAlignment="1" applyProtection="1">
      <alignment horizontal="right" vertical="top"/>
      <protection hidden="1"/>
    </xf>
    <xf numFmtId="0" fontId="0" fillId="39" borderId="59" xfId="0" applyFont="1" applyFill="1" applyBorder="1" applyAlignment="1" applyProtection="1">
      <alignment horizontal="left" vertical="top"/>
      <protection hidden="1"/>
    </xf>
    <xf numFmtId="0" fontId="23" fillId="40" borderId="60" xfId="0" applyFont="1" applyFill="1" applyBorder="1" applyAlignment="1" applyProtection="1">
      <alignment/>
      <protection hidden="1"/>
    </xf>
    <xf numFmtId="2" fontId="0" fillId="42" borderId="61" xfId="0" applyNumberFormat="1" applyFont="1" applyFill="1" applyBorder="1" applyAlignment="1" applyProtection="1">
      <alignment horizontal="center"/>
      <protection locked="0"/>
    </xf>
    <xf numFmtId="2" fontId="0" fillId="42" borderId="62" xfId="0" applyNumberFormat="1" applyFont="1" applyFill="1" applyBorder="1" applyAlignment="1" applyProtection="1">
      <alignment horizontal="center"/>
      <protection locked="0"/>
    </xf>
    <xf numFmtId="0" fontId="30" fillId="39" borderId="63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4" xfId="0" applyFont="1" applyFill="1" applyBorder="1" applyAlignment="1" applyProtection="1">
      <alignment/>
      <protection hidden="1"/>
    </xf>
    <xf numFmtId="2" fontId="0" fillId="42" borderId="65" xfId="0" applyNumberFormat="1" applyFont="1" applyFill="1" applyBorder="1" applyAlignment="1" applyProtection="1">
      <alignment horizontal="center"/>
      <protection locked="0"/>
    </xf>
    <xf numFmtId="2" fontId="0" fillId="42" borderId="66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38" borderId="10" xfId="0" applyFont="1" applyFill="1" applyBorder="1" applyAlignment="1" applyProtection="1">
      <alignment/>
      <protection hidden="1"/>
    </xf>
    <xf numFmtId="0" fontId="40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1" fillId="34" borderId="3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7" xfId="0" applyNumberFormat="1" applyFont="1" applyFill="1" applyBorder="1" applyAlignment="1" applyProtection="1">
      <alignment horizontal="left"/>
      <protection hidden="1"/>
    </xf>
    <xf numFmtId="0" fontId="0" fillId="39" borderId="68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9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69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2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2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0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3" fillId="40" borderId="0" xfId="0" applyFont="1" applyFill="1" applyBorder="1" applyAlignment="1" applyProtection="1">
      <alignment/>
      <protection hidden="1"/>
    </xf>
    <xf numFmtId="0" fontId="43" fillId="40" borderId="22" xfId="0" applyFont="1" applyFill="1" applyBorder="1" applyAlignment="1" applyProtection="1">
      <alignment/>
      <protection hidden="1"/>
    </xf>
    <xf numFmtId="0" fontId="43" fillId="35" borderId="40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2" fillId="40" borderId="27" xfId="0" applyFont="1" applyFill="1" applyBorder="1" applyAlignment="1" applyProtection="1">
      <alignment horizontal="center"/>
      <protection hidden="1"/>
    </xf>
    <xf numFmtId="165" fontId="42" fillId="40" borderId="70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9" xfId="0" applyNumberFormat="1" applyFont="1" applyFill="1" applyBorder="1" applyAlignment="1" applyProtection="1">
      <alignment horizontal="center"/>
      <protection hidden="1"/>
    </xf>
    <xf numFmtId="165" fontId="35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69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1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2" fontId="0" fillId="37" borderId="70" xfId="0" applyNumberFormat="1" applyFont="1" applyFill="1" applyBorder="1" applyAlignment="1" applyProtection="1">
      <alignment/>
      <protection locked="0"/>
    </xf>
    <xf numFmtId="2" fontId="0" fillId="37" borderId="49" xfId="0" applyNumberFormat="1" applyFont="1" applyFill="1" applyBorder="1" applyAlignment="1" applyProtection="1">
      <alignment/>
      <protection locked="0"/>
    </xf>
    <xf numFmtId="0" fontId="0" fillId="34" borderId="49" xfId="0" applyNumberFormat="1" applyFont="1" applyFill="1" applyBorder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4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4" xfId="0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42" fillId="38" borderId="76" xfId="0" applyFont="1" applyFill="1" applyBorder="1" applyAlignment="1" applyProtection="1">
      <alignment horizontal="right"/>
      <protection hidden="1"/>
    </xf>
    <xf numFmtId="0" fontId="0" fillId="34" borderId="42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3" xfId="0" applyNumberFormat="1" applyFont="1" applyFill="1" applyBorder="1" applyAlignment="1" applyProtection="1">
      <alignment/>
      <protection locked="0"/>
    </xf>
    <xf numFmtId="2" fontId="0" fillId="37" borderId="76" xfId="0" applyNumberFormat="1" applyFont="1" applyFill="1" applyBorder="1" applyAlignment="1" applyProtection="1">
      <alignment/>
      <protection locked="0"/>
    </xf>
    <xf numFmtId="2" fontId="0" fillId="37" borderId="55" xfId="0" applyNumberFormat="1" applyFont="1" applyFill="1" applyBorder="1" applyAlignment="1" applyProtection="1">
      <alignment/>
      <protection locked="0"/>
    </xf>
    <xf numFmtId="0" fontId="0" fillId="34" borderId="55" xfId="0" applyNumberFormat="1" applyFont="1" applyFill="1" applyBorder="1" applyAlignment="1" applyProtection="1">
      <alignment/>
      <protection hidden="1"/>
    </xf>
    <xf numFmtId="0" fontId="0" fillId="40" borderId="77" xfId="0" applyNumberFormat="1" applyFont="1" applyFill="1" applyBorder="1" applyAlignment="1" applyProtection="1">
      <alignment/>
      <protection hidden="1"/>
    </xf>
    <xf numFmtId="0" fontId="0" fillId="38" borderId="74" xfId="0" applyFont="1" applyFill="1" applyBorder="1" applyAlignment="1" applyProtection="1">
      <alignment horizontal="left"/>
      <protection hidden="1"/>
    </xf>
    <xf numFmtId="0" fontId="0" fillId="34" borderId="43" xfId="0" applyFill="1" applyBorder="1" applyAlignment="1" applyProtection="1">
      <alignment/>
      <protection hidden="1"/>
    </xf>
    <xf numFmtId="1" fontId="43" fillId="0" borderId="0" xfId="0" applyNumberFormat="1" applyFont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4" xfId="0" applyFill="1" applyBorder="1" applyAlignment="1">
      <alignment/>
    </xf>
    <xf numFmtId="0" fontId="42" fillId="38" borderId="76" xfId="0" applyFont="1" applyFill="1" applyBorder="1" applyAlignment="1">
      <alignment horizontal="right"/>
    </xf>
    <xf numFmtId="0" fontId="27" fillId="38" borderId="77" xfId="0" applyNumberFormat="1" applyFont="1" applyFill="1" applyBorder="1" applyAlignment="1" applyProtection="1">
      <alignment/>
      <protection hidden="1"/>
    </xf>
    <xf numFmtId="1" fontId="44" fillId="34" borderId="79" xfId="0" applyNumberFormat="1" applyFont="1" applyFill="1" applyBorder="1" applyAlignment="1" applyProtection="1">
      <alignment horizontal="center"/>
      <protection hidden="1"/>
    </xf>
    <xf numFmtId="0" fontId="27" fillId="38" borderId="73" xfId="0" applyNumberFormat="1" applyFont="1" applyFill="1" applyBorder="1" applyAlignment="1" applyProtection="1">
      <alignment/>
      <protection hidden="1"/>
    </xf>
    <xf numFmtId="1" fontId="44" fillId="34" borderId="75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4" xfId="0" applyNumberFormat="1" applyFont="1" applyFill="1" applyBorder="1" applyAlignment="1" applyProtection="1">
      <alignment/>
      <protection locked="0"/>
    </xf>
    <xf numFmtId="2" fontId="0" fillId="37" borderId="80" xfId="0" applyNumberFormat="1" applyFont="1" applyFill="1" applyBorder="1" applyAlignment="1" applyProtection="1">
      <alignment/>
      <protection locked="0"/>
    </xf>
    <xf numFmtId="2" fontId="0" fillId="37" borderId="66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6" xfId="0" applyNumberFormat="1" applyFont="1" applyFill="1" applyBorder="1" applyAlignment="1" applyProtection="1">
      <alignment/>
      <protection hidden="1"/>
    </xf>
    <xf numFmtId="0" fontId="0" fillId="40" borderId="81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4" fillId="34" borderId="11" xfId="0" applyNumberFormat="1" applyFont="1" applyFill="1" applyBorder="1" applyAlignment="1" applyProtection="1">
      <alignment horizontal="center"/>
      <protection hidden="1"/>
    </xf>
    <xf numFmtId="0" fontId="0" fillId="38" borderId="82" xfId="0" applyFill="1" applyBorder="1" applyAlignment="1" applyProtection="1">
      <alignment/>
      <protection hidden="1"/>
    </xf>
    <xf numFmtId="0" fontId="0" fillId="38" borderId="82" xfId="0" applyFill="1" applyBorder="1" applyAlignment="1">
      <alignment/>
    </xf>
    <xf numFmtId="0" fontId="42" fillId="38" borderId="80" xfId="0" applyFont="1" applyFill="1" applyBorder="1" applyAlignment="1" applyProtection="1">
      <alignment horizontal="right"/>
      <protection hidden="1"/>
    </xf>
    <xf numFmtId="0" fontId="42" fillId="38" borderId="80" xfId="0" applyFont="1" applyFill="1" applyBorder="1" applyAlignment="1">
      <alignment horizontal="right"/>
    </xf>
    <xf numFmtId="0" fontId="4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2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0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11_ESTAC_19-06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L10" sqref="L10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41444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15.6</v>
      </c>
      <c r="M5" s="52"/>
      <c r="N5" s="53" t="s">
        <v>16</v>
      </c>
      <c r="O5" s="54">
        <v>14.142857142857142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80</v>
      </c>
      <c r="C7" s="66">
        <v>20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15.25</v>
      </c>
      <c r="O8" s="84">
        <f>IF(ISERROR(AVERAGE(J23:J82)),"      -",AVERAGE(J23:J82))</f>
        <v>2.5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0.3</v>
      </c>
      <c r="C9" s="87">
        <v>0.3</v>
      </c>
      <c r="D9" s="88"/>
      <c r="E9" s="88"/>
      <c r="F9" s="89">
        <f aca="true" t="shared" si="0" ref="F9:F15">($B9*$B$7+$C9*$C$7)/100</f>
        <v>0.3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2.277608394786075</v>
      </c>
      <c r="O9" s="84">
        <f>IF(ISERROR(STDEVP(J23:J82)),"      -",STDEVP(J23:J82))</f>
        <v>0.5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/>
      <c r="C10" s="99"/>
      <c r="D10" s="100"/>
      <c r="E10" s="100"/>
      <c r="F10" s="89"/>
      <c r="G10" s="90"/>
      <c r="H10" s="101"/>
      <c r="I10" s="102"/>
      <c r="J10" s="103" t="s">
        <v>32</v>
      </c>
      <c r="K10" s="103"/>
      <c r="L10" s="104"/>
      <c r="M10" s="105" t="s">
        <v>33</v>
      </c>
      <c r="N10" s="106">
        <f>MIN(I23:I82)</f>
        <v>13</v>
      </c>
      <c r="O10" s="106">
        <f>MIN(J23:J82)</f>
        <v>2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34</v>
      </c>
      <c r="B11" s="109"/>
      <c r="C11" s="110"/>
      <c r="D11" s="111"/>
      <c r="E11" s="111"/>
      <c r="F11" s="112">
        <f t="shared" si="0"/>
        <v>0</v>
      </c>
      <c r="G11" s="113"/>
      <c r="H11" s="67"/>
      <c r="I11" s="114" t="s">
        <v>35</v>
      </c>
      <c r="J11" s="115"/>
      <c r="K11" s="116">
        <f>COUNTIF($G$23:$G$82,"=HET")</f>
        <v>0</v>
      </c>
      <c r="L11" s="117"/>
      <c r="M11" s="105" t="s">
        <v>36</v>
      </c>
      <c r="N11" s="106">
        <f>MAX(I23:I82)</f>
        <v>19</v>
      </c>
      <c r="O11" s="106">
        <f>MAX(J23:J82)</f>
        <v>3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37</v>
      </c>
      <c r="B12" s="119">
        <v>0.2</v>
      </c>
      <c r="C12" s="120">
        <v>0.1</v>
      </c>
      <c r="D12" s="111"/>
      <c r="E12" s="111"/>
      <c r="F12" s="112">
        <f t="shared" si="0"/>
        <v>0.18</v>
      </c>
      <c r="G12" s="121"/>
      <c r="H12" s="67"/>
      <c r="I12" s="122" t="s">
        <v>38</v>
      </c>
      <c r="J12" s="123"/>
      <c r="K12" s="116">
        <f>COUNTIF($G$23:$G$82,"=ALG")</f>
        <v>2</v>
      </c>
      <c r="L12" s="124"/>
      <c r="M12" s="125"/>
      <c r="N12" s="126" t="s">
        <v>32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39</v>
      </c>
      <c r="B13" s="119">
        <v>0.1</v>
      </c>
      <c r="C13" s="120">
        <v>0.2</v>
      </c>
      <c r="D13" s="111"/>
      <c r="E13" s="111"/>
      <c r="F13" s="112">
        <f t="shared" si="0"/>
        <v>0.12</v>
      </c>
      <c r="G13" s="121"/>
      <c r="H13" s="67"/>
      <c r="I13" s="129" t="s">
        <v>40</v>
      </c>
      <c r="J13" s="123"/>
      <c r="K13" s="116">
        <f>COUNTIF($G$23:$G$82,"=BRm")+COUNTIF($G$23:$G$82,"=BRh")</f>
        <v>5</v>
      </c>
      <c r="L13" s="117"/>
      <c r="M13" s="130" t="s">
        <v>41</v>
      </c>
      <c r="N13" s="131">
        <f>COUNTIF(F23:F82,"&gt;0")</f>
        <v>7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42</v>
      </c>
      <c r="B14" s="119"/>
      <c r="C14" s="120"/>
      <c r="D14" s="111"/>
      <c r="E14" s="111"/>
      <c r="F14" s="112">
        <f t="shared" si="0"/>
        <v>0</v>
      </c>
      <c r="G14" s="121"/>
      <c r="H14" s="67"/>
      <c r="I14" s="129" t="s">
        <v>43</v>
      </c>
      <c r="J14" s="123"/>
      <c r="K14" s="116">
        <f>COUNTIF($G$23:$G$82,"=PTE")+COUNTIF($G$23:$G$82,"=LIC")</f>
        <v>0</v>
      </c>
      <c r="L14" s="117"/>
      <c r="M14" s="134" t="s">
        <v>44</v>
      </c>
      <c r="N14" s="135">
        <f>COUNTIF($I$23:$I$82,"&gt;-1")</f>
        <v>4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45</v>
      </c>
      <c r="B15" s="138"/>
      <c r="C15" s="139"/>
      <c r="D15" s="111"/>
      <c r="E15" s="111"/>
      <c r="F15" s="112">
        <f t="shared" si="0"/>
        <v>0</v>
      </c>
      <c r="G15" s="121"/>
      <c r="H15" s="67"/>
      <c r="I15" s="129" t="s">
        <v>46</v>
      </c>
      <c r="J15" s="123"/>
      <c r="K15" s="116">
        <f>(COUNTIF($G$23:$G$82,"=PHy"))+(COUNTIF($G$23:$G$82,"=PHe"))+(COUNTIF($G$23:$G$82,"=PHg"))+(COUNTIF($G$23:$G$82,"=PHx"))</f>
        <v>0</v>
      </c>
      <c r="L15" s="117"/>
      <c r="M15" s="140" t="s">
        <v>47</v>
      </c>
      <c r="N15" s="141">
        <f>COUNTIF(J23:J82,"=1")</f>
        <v>0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48</v>
      </c>
      <c r="B16" s="109"/>
      <c r="C16" s="110"/>
      <c r="D16" s="143"/>
      <c r="E16" s="143"/>
      <c r="F16" s="144"/>
      <c r="G16" s="144">
        <f>($B16*$B$7+$C16*$C$7)/100</f>
        <v>0</v>
      </c>
      <c r="H16" s="67"/>
      <c r="I16" s="145"/>
      <c r="J16" s="146"/>
      <c r="K16" s="146"/>
      <c r="L16" s="117"/>
      <c r="M16" s="140" t="s">
        <v>49</v>
      </c>
      <c r="N16" s="141">
        <f>COUNTIF(J23:J82,"=2")</f>
        <v>2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50</v>
      </c>
      <c r="B17" s="119">
        <v>0.3</v>
      </c>
      <c r="C17" s="120">
        <v>0.3</v>
      </c>
      <c r="D17" s="111"/>
      <c r="E17" s="111"/>
      <c r="F17" s="147"/>
      <c r="G17" s="112">
        <f>($B17*$B$7+$C17*$C$7)/100</f>
        <v>0.3</v>
      </c>
      <c r="H17" s="67"/>
      <c r="I17" s="129"/>
      <c r="J17" s="123"/>
      <c r="K17" s="146"/>
      <c r="L17" s="117"/>
      <c r="M17" s="140" t="s">
        <v>51</v>
      </c>
      <c r="N17" s="141">
        <f>COUNTIF(J23:J82,"=3")</f>
        <v>2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52</v>
      </c>
      <c r="B18" s="150"/>
      <c r="C18" s="151"/>
      <c r="D18" s="111"/>
      <c r="E18" s="152" t="s">
        <v>53</v>
      </c>
      <c r="F18" s="147"/>
      <c r="G18" s="112">
        <f>($B18*$B$7+$C18*$C$7)/100</f>
        <v>0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54</v>
      </c>
      <c r="W18" s="155" t="s">
        <v>54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0.3</v>
      </c>
      <c r="G19" s="161">
        <f>SUM(G16:G18)</f>
        <v>0.3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54</v>
      </c>
      <c r="W19" s="155" t="s">
        <v>54</v>
      </c>
    </row>
    <row r="20" spans="1:23" ht="12.75">
      <c r="A20" s="169" t="s">
        <v>55</v>
      </c>
      <c r="B20" s="170">
        <f>SUM(B23:B82)</f>
        <v>0.33</v>
      </c>
      <c r="C20" s="171">
        <f>SUM(C23:C82)</f>
        <v>0.35</v>
      </c>
      <c r="D20" s="172"/>
      <c r="E20" s="173" t="s">
        <v>53</v>
      </c>
      <c r="F20" s="174">
        <f>($B20*$B$7+$C20*$C$7)/100</f>
        <v>0.3340000000000001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56</v>
      </c>
      <c r="R20" s="8"/>
      <c r="S20" s="8"/>
      <c r="T20" s="8"/>
      <c r="U20" s="8"/>
      <c r="V20" s="8" t="s">
        <v>54</v>
      </c>
      <c r="W20" s="155" t="s">
        <v>54</v>
      </c>
    </row>
    <row r="21" spans="1:23" ht="12.75">
      <c r="A21" s="183" t="s">
        <v>57</v>
      </c>
      <c r="B21" s="184">
        <f>B20*B7/100</f>
        <v>0.264</v>
      </c>
      <c r="C21" s="184">
        <f>C20*C7/100</f>
        <v>0.07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0.334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58</v>
      </c>
      <c r="R21" s="8"/>
      <c r="S21" s="8"/>
      <c r="T21" s="8"/>
      <c r="U21" s="8"/>
      <c r="V21" s="8" t="s">
        <v>54</v>
      </c>
      <c r="W21" s="155" t="s">
        <v>54</v>
      </c>
    </row>
    <row r="22" spans="1:29" ht="12.75">
      <c r="A22" s="194" t="s">
        <v>59</v>
      </c>
      <c r="B22" s="195" t="s">
        <v>60</v>
      </c>
      <c r="C22" s="196" t="s">
        <v>60</v>
      </c>
      <c r="D22" s="143"/>
      <c r="E22" s="143"/>
      <c r="F22" s="197" t="s">
        <v>61</v>
      </c>
      <c r="G22" s="198" t="s">
        <v>62</v>
      </c>
      <c r="H22" s="143"/>
      <c r="I22" s="199" t="s">
        <v>63</v>
      </c>
      <c r="J22" s="199" t="s">
        <v>64</v>
      </c>
      <c r="K22" s="200" t="s">
        <v>65</v>
      </c>
      <c r="L22" s="200"/>
      <c r="M22" s="200"/>
      <c r="N22" s="200"/>
      <c r="O22" s="201"/>
      <c r="P22" s="202" t="s">
        <v>66</v>
      </c>
      <c r="Q22" s="203" t="s">
        <v>67</v>
      </c>
      <c r="R22" s="204" t="s">
        <v>68</v>
      </c>
      <c r="S22" s="205" t="s">
        <v>69</v>
      </c>
      <c r="T22" s="206" t="s">
        <v>70</v>
      </c>
      <c r="U22" s="207" t="s">
        <v>71</v>
      </c>
      <c r="V22" s="205" t="s">
        <v>72</v>
      </c>
      <c r="Y22" s="8" t="s">
        <v>73</v>
      </c>
      <c r="Z22" s="8" t="s">
        <v>74</v>
      </c>
      <c r="AA22" s="208" t="s">
        <v>75</v>
      </c>
      <c r="AB22" s="208" t="s">
        <v>76</v>
      </c>
      <c r="AC22" s="209" t="s">
        <v>77</v>
      </c>
    </row>
    <row r="23" spans="1:54" ht="12.75">
      <c r="A23" s="210" t="s">
        <v>78</v>
      </c>
      <c r="B23" s="211">
        <v>0.01</v>
      </c>
      <c r="C23" s="212">
        <v>0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Phormidium sp.</v>
      </c>
      <c r="E23" s="213" t="e">
        <f>IF(D23="",,VLOOKUP(D23,D$22:D22,1,0))</f>
        <v>#N/A</v>
      </c>
      <c r="F23" s="214">
        <f aca="true" t="shared" si="1" ref="F23:F82">($B23*$B$7+$C23*$C$7)/100</f>
        <v>0.008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13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2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Phormidium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6414</v>
      </c>
      <c r="Q23" s="221">
        <f aca="true" t="shared" si="2" ref="Q23:Q82">IF(ISTEXT(H23),"",(B23*$B$7/100)+(C23*$C$7/100))</f>
        <v>0.008</v>
      </c>
      <c r="R23" s="222">
        <f aca="true" t="shared" si="3" ref="R23:R82">IF(OR(ISTEXT(H23),Q23=0),"",IF(Q23&lt;0.1,1,IF(Q23&lt;1,2,IF(Q23&lt;10,3,IF(Q23&lt;50,4,IF(Q23&gt;=50,5,""))))))</f>
        <v>1</v>
      </c>
      <c r="S23" s="222">
        <f aca="true" t="shared" si="4" ref="S23:S82">IF(ISERROR(R23*I23),0,R23*I23)</f>
        <v>13</v>
      </c>
      <c r="T23" s="222">
        <f aca="true" t="shared" si="5" ref="T23:T82">IF(ISERROR(R23*I23*J23),0,R23*I23*J23)</f>
        <v>26</v>
      </c>
      <c r="U23" s="222">
        <f aca="true" t="shared" si="6" ref="U23:U82">IF(ISERROR(R23*J23),0,R23*J23)</f>
        <v>2</v>
      </c>
      <c r="V23" s="223">
        <f aca="true" t="shared" si="7" ref="V23:V82">IF(AND(A23="",F23=0),"",IF(F23=0,"Il manque le(s) % de rec. !",""))</f>
      </c>
      <c r="W23" s="224" t="s">
        <v>54</v>
      </c>
      <c r="Y23" s="225" t="str">
        <f>IF(A23="new.cod","NEWCOD",IF(AND((Z23=""),ISTEXT(A23)),A23,IF(Z23="","",INDEX('[1]liste reference'!$A$8:$A$904,Z23))))</f>
        <v>PHOSPX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57</v>
      </c>
      <c r="AA23" s="226"/>
      <c r="AB23" s="227"/>
      <c r="AC23" s="227"/>
      <c r="BB23" s="8">
        <f aca="true" t="shared" si="8" ref="BB23:BB82">IF(A23="","",1)</f>
        <v>1</v>
      </c>
    </row>
    <row r="24" spans="1:54" ht="12.75">
      <c r="A24" s="228" t="s">
        <v>79</v>
      </c>
      <c r="B24" s="229">
        <v>0.21</v>
      </c>
      <c r="C24" s="230">
        <v>0.11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Tolypothrix sp.</v>
      </c>
      <c r="E24" s="231" t="e">
        <f>IF(D24="",,VLOOKUP(D24,D$22:D23,1,0))</f>
        <v>#N/A</v>
      </c>
      <c r="F24" s="232">
        <f t="shared" si="1"/>
        <v>0.19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Tolypothrix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6304</v>
      </c>
      <c r="Q24" s="221">
        <f t="shared" si="2"/>
        <v>0.19</v>
      </c>
      <c r="R24" s="222">
        <f t="shared" si="3"/>
        <v>2</v>
      </c>
      <c r="S24" s="222">
        <f t="shared" si="4"/>
        <v>0</v>
      </c>
      <c r="T24" s="222">
        <f t="shared" si="5"/>
        <v>0</v>
      </c>
      <c r="U24" s="234">
        <f t="shared" si="6"/>
        <v>0</v>
      </c>
      <c r="V24" s="223">
        <f t="shared" si="7"/>
      </c>
      <c r="W24" s="224" t="s">
        <v>54</v>
      </c>
      <c r="Y24" s="225" t="str">
        <f>IF(A24="new.cod","NEWCOD",IF(AND((Z24=""),ISTEXT(A24)),A24,IF(Z24="","",INDEX('[1]liste reference'!$A$8:$A$904,Z24))))</f>
        <v>TOYSPX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79</v>
      </c>
      <c r="AA24" s="226"/>
      <c r="AB24" s="227"/>
      <c r="AC24" s="227"/>
      <c r="BB24" s="8">
        <f t="shared" si="8"/>
        <v>1</v>
      </c>
    </row>
    <row r="25" spans="1:54" ht="12.75">
      <c r="A25" s="228" t="s">
        <v>16</v>
      </c>
      <c r="B25" s="229">
        <v>0</v>
      </c>
      <c r="C25" s="230">
        <v>0.01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Jungermannia atrovirens</v>
      </c>
      <c r="E25" s="231" t="e">
        <f>IF(D25="",,VLOOKUP(D25,D$22:D24,1,0))</f>
        <v>#N/A</v>
      </c>
      <c r="F25" s="232">
        <f t="shared" si="1"/>
        <v>0.002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BRh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4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19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3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Jungermannia atrovirens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19820</v>
      </c>
      <c r="Q25" s="221">
        <f t="shared" si="2"/>
        <v>0.002</v>
      </c>
      <c r="R25" s="222">
        <f t="shared" si="3"/>
        <v>1</v>
      </c>
      <c r="S25" s="222">
        <f t="shared" si="4"/>
        <v>19</v>
      </c>
      <c r="T25" s="222">
        <f t="shared" si="5"/>
        <v>57</v>
      </c>
      <c r="U25" s="234">
        <f t="shared" si="6"/>
        <v>3</v>
      </c>
      <c r="V25" s="223">
        <f t="shared" si="7"/>
      </c>
      <c r="W25" s="224" t="s">
        <v>54</v>
      </c>
      <c r="Y25" s="225" t="str">
        <f>IF(A25="new.cod","NEWCOD",IF(AND((Z25=""),ISTEXT(A25)),A25,IF(Z25="","",INDEX('[1]liste reference'!$A$8:$A$904,Z25))))</f>
        <v>JUGATR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101</v>
      </c>
      <c r="AA25" s="226"/>
      <c r="AB25" s="227"/>
      <c r="AC25" s="227"/>
      <c r="BB25" s="8">
        <f t="shared" si="8"/>
        <v>1</v>
      </c>
    </row>
    <row r="26" spans="1:54" ht="12.75">
      <c r="A26" s="228" t="s">
        <v>80</v>
      </c>
      <c r="B26" s="229">
        <v>0</v>
      </c>
      <c r="C26" s="230">
        <v>0.01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Pellia endiviifolia</v>
      </c>
      <c r="E26" s="231" t="e">
        <f>IF(D26="",,VLOOKUP(D26,D$22:D25,1,0))</f>
        <v>#N/A</v>
      </c>
      <c r="F26" s="232">
        <f t="shared" si="1"/>
        <v>0.002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BRh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4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Pellia endiviifolia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1197</v>
      </c>
      <c r="Q26" s="221">
        <f t="shared" si="2"/>
        <v>0.002</v>
      </c>
      <c r="R26" s="222">
        <f t="shared" si="3"/>
        <v>1</v>
      </c>
      <c r="S26" s="222">
        <f t="shared" si="4"/>
        <v>0</v>
      </c>
      <c r="T26" s="222">
        <f t="shared" si="5"/>
        <v>0</v>
      </c>
      <c r="U26" s="234">
        <f t="shared" si="6"/>
        <v>0</v>
      </c>
      <c r="V26" s="223">
        <f t="shared" si="7"/>
      </c>
      <c r="W26" s="224" t="s">
        <v>54</v>
      </c>
      <c r="Y26" s="225" t="str">
        <f>IF(A26="new.cod","NEWCOD",IF(AND((Z26=""),ISTEXT(A26)),A26,IF(Z26="","",INDEX('[1]liste reference'!$A$8:$A$904,Z26))))</f>
        <v>PELEND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120</v>
      </c>
      <c r="AA26" s="226"/>
      <c r="AB26" s="227"/>
      <c r="AC26" s="227"/>
      <c r="BB26" s="8">
        <f t="shared" si="8"/>
        <v>1</v>
      </c>
    </row>
    <row r="27" spans="1:54" ht="12.75">
      <c r="A27" s="228" t="s">
        <v>81</v>
      </c>
      <c r="B27" s="229">
        <v>0.01</v>
      </c>
      <c r="C27" s="230">
        <v>0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Drepanocladus fluitans</v>
      </c>
      <c r="E27" s="231" t="e">
        <f>IF(D27="",,VLOOKUP(D27,D$22:D26,1,0))</f>
        <v>#N/A</v>
      </c>
      <c r="F27" s="232">
        <f t="shared" si="1"/>
        <v>0.008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BRm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5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14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2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Drepanocladus fluitans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25779</v>
      </c>
      <c r="Q27" s="221">
        <f t="shared" si="2"/>
        <v>0.008</v>
      </c>
      <c r="R27" s="222">
        <f t="shared" si="3"/>
        <v>1</v>
      </c>
      <c r="S27" s="222">
        <f t="shared" si="4"/>
        <v>14</v>
      </c>
      <c r="T27" s="222">
        <f t="shared" si="5"/>
        <v>28</v>
      </c>
      <c r="U27" s="234">
        <f t="shared" si="6"/>
        <v>2</v>
      </c>
      <c r="V27" s="223">
        <f t="shared" si="7"/>
      </c>
      <c r="W27" s="235" t="s">
        <v>54</v>
      </c>
      <c r="Y27" s="225" t="str">
        <f>IF(A27="new.cod","NEWCOD",IF(AND((Z27=""),ISTEXT(A27)),A27,IF(Z27="","",INDEX('[1]liste reference'!$A$8:$A$904,Z27))))</f>
        <v>DREFLU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189</v>
      </c>
      <c r="AA27" s="226"/>
      <c r="AB27" s="227"/>
      <c r="AC27" s="227"/>
      <c r="BB27" s="8">
        <f t="shared" si="8"/>
        <v>1</v>
      </c>
    </row>
    <row r="28" spans="1:54" ht="12.75">
      <c r="A28" s="228" t="s">
        <v>82</v>
      </c>
      <c r="B28" s="229">
        <v>0</v>
      </c>
      <c r="C28" s="230">
        <v>0.22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Eucladium verticillatum</v>
      </c>
      <c r="E28" s="231" t="e">
        <f>IF(D28="",,VLOOKUP(D28,D$22:D27,1,0))</f>
        <v>#N/A</v>
      </c>
      <c r="F28" s="232">
        <f t="shared" si="1"/>
        <v>0.044000000000000004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BRm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5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Eucladium verticillatum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19654</v>
      </c>
      <c r="Q28" s="221">
        <f t="shared" si="2"/>
        <v>0.044000000000000004</v>
      </c>
      <c r="R28" s="222">
        <f t="shared" si="3"/>
        <v>1</v>
      </c>
      <c r="S28" s="222">
        <f t="shared" si="4"/>
        <v>0</v>
      </c>
      <c r="T28" s="222">
        <f t="shared" si="5"/>
        <v>0</v>
      </c>
      <c r="U28" s="234">
        <f t="shared" si="6"/>
        <v>0</v>
      </c>
      <c r="V28" s="223">
        <f t="shared" si="7"/>
      </c>
      <c r="W28" s="224" t="s">
        <v>54</v>
      </c>
      <c r="Y28" s="225" t="str">
        <f>IF(A28="new.cod","NEWCOD",IF(AND((Z28=""),ISTEXT(A28)),A28,IF(Z28="","",INDEX('[1]liste reference'!$A$8:$A$904,Z28))))</f>
        <v>EUCVER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191</v>
      </c>
      <c r="AA28" s="226"/>
      <c r="AB28" s="227"/>
      <c r="AC28" s="227"/>
      <c r="BB28" s="8">
        <f t="shared" si="8"/>
        <v>1</v>
      </c>
    </row>
    <row r="29" spans="1:54" ht="12.75">
      <c r="A29" s="228" t="s">
        <v>83</v>
      </c>
      <c r="B29" s="229">
        <v>0.1</v>
      </c>
      <c r="C29" s="230">
        <v>0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Schistidium rivulare</v>
      </c>
      <c r="E29" s="231" t="e">
        <f>IF(D29="",,VLOOKUP(D29,D$22:D28,1,0))</f>
        <v>#N/A</v>
      </c>
      <c r="F29" s="232">
        <f t="shared" si="1"/>
        <v>0.08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15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3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Schistidium rivulare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1327</v>
      </c>
      <c r="Q29" s="221">
        <f t="shared" si="2"/>
        <v>0.08</v>
      </c>
      <c r="R29" s="222">
        <f t="shared" si="3"/>
        <v>1</v>
      </c>
      <c r="S29" s="222">
        <f t="shared" si="4"/>
        <v>15</v>
      </c>
      <c r="T29" s="222">
        <f t="shared" si="5"/>
        <v>45</v>
      </c>
      <c r="U29" s="234">
        <f t="shared" si="6"/>
        <v>3</v>
      </c>
      <c r="V29" s="223">
        <f t="shared" si="7"/>
      </c>
      <c r="W29" s="224" t="s">
        <v>54</v>
      </c>
      <c r="X29" s="224"/>
      <c r="Y29" s="225" t="str">
        <f>IF(A29="new.cod","NEWCOD",IF(AND((Z29=""),ISTEXT(A29)),A29,IF(Z29="","",INDEX('[1]liste reference'!$A$8:$A$904,Z29))))</f>
        <v>SCSRIV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255</v>
      </c>
      <c r="AA29" s="226"/>
      <c r="AB29" s="227"/>
      <c r="AC29" s="227"/>
      <c r="BB29" s="8">
        <f t="shared" si="8"/>
        <v>1</v>
      </c>
    </row>
    <row r="30" spans="1:54" ht="12.75">
      <c r="A30" s="228" t="s">
        <v>54</v>
      </c>
      <c r="B30" s="229"/>
      <c r="C30" s="230"/>
      <c r="D30" s="213">
        <f>IF(ISERROR(VLOOKUP($A30,'[1]liste reference'!$A$7:$D$904,2,0)),IF(ISERROR(VLOOKUP($A30,'[1]liste reference'!$B$7:$D$904,1,0)),"",VLOOKUP($A30,'[1]liste reference'!$B$7:$D$904,1,0)),VLOOKUP($A30,'[1]liste reference'!$A$7:$D$904,2,0))</f>
      </c>
      <c r="E30" s="231">
        <f>IF(D30="",,VLOOKUP(D30,D$22:D29,1,0))</f>
        <v>0</v>
      </c>
      <c r="F30" s="232">
        <f t="shared" si="1"/>
        <v>0</v>
      </c>
      <c r="G30" s="215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</c>
      <c r="H30" s="216" t="str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x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</c>
      <c r="K30" s="218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</c>
      <c r="Q30" s="221">
        <f t="shared" si="2"/>
      </c>
      <c r="R30" s="222">
        <f t="shared" si="3"/>
      </c>
      <c r="S30" s="222">
        <f t="shared" si="4"/>
        <v>0</v>
      </c>
      <c r="T30" s="222">
        <f t="shared" si="5"/>
        <v>0</v>
      </c>
      <c r="U30" s="234">
        <f t="shared" si="6"/>
        <v>0</v>
      </c>
      <c r="V30" s="223">
        <f t="shared" si="7"/>
      </c>
      <c r="W30" s="224" t="s">
        <v>54</v>
      </c>
      <c r="Y30" s="225">
        <f>IF(A30="new.cod","NEWCOD",IF(AND((Z30=""),ISTEXT(A30)),A30,IF(Z30="","",INDEX('[1]liste reference'!$A$8:$A$904,Z30))))</f>
      </c>
      <c r="Z30" s="8">
        <f>IF(ISERROR(MATCH(A30,'[1]liste reference'!$A$8:$A$904,0)),IF(ISERROR(MATCH(A30,'[1]liste reference'!$B$8:$B$904,0)),"",(MATCH(A30,'[1]liste reference'!$B$8:$B$904,0))),(MATCH(A30,'[1]liste reference'!$A$8:$A$904,0)))</f>
      </c>
      <c r="AA30" s="226"/>
      <c r="AB30" s="227"/>
      <c r="AC30" s="227"/>
      <c r="BB30" s="8">
        <f t="shared" si="8"/>
      </c>
    </row>
    <row r="31" spans="1:54" ht="12.75">
      <c r="A31" s="228" t="s">
        <v>54</v>
      </c>
      <c r="B31" s="229"/>
      <c r="C31" s="230"/>
      <c r="D31" s="213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31">
        <f>IF(D31="",,VLOOKUP(D31,D$22:D30,1,0))</f>
        <v>0</v>
      </c>
      <c r="F31" s="232">
        <f t="shared" si="1"/>
        <v>0</v>
      </c>
      <c r="G31" s="215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</c>
      <c r="H31" s="216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18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</c>
      <c r="Q31" s="221">
        <f t="shared" si="2"/>
      </c>
      <c r="R31" s="222">
        <f t="shared" si="3"/>
      </c>
      <c r="S31" s="222">
        <f t="shared" si="4"/>
        <v>0</v>
      </c>
      <c r="T31" s="222">
        <f t="shared" si="5"/>
        <v>0</v>
      </c>
      <c r="U31" s="234">
        <f t="shared" si="6"/>
        <v>0</v>
      </c>
      <c r="V31" s="223">
        <f t="shared" si="7"/>
      </c>
      <c r="W31" s="224" t="s">
        <v>54</v>
      </c>
      <c r="Y31" s="225">
        <f>IF(A31="new.cod","NEWCOD",IF(AND((Z31=""),ISTEXT(A31)),A31,IF(Z31="","",INDEX('[1]liste reference'!$A$8:$A$904,Z31))))</f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26"/>
      <c r="AB31" s="227"/>
      <c r="AC31" s="227"/>
      <c r="BB31" s="8">
        <f t="shared" si="8"/>
      </c>
    </row>
    <row r="32" spans="1:54" ht="12.75">
      <c r="A32" s="228" t="s">
        <v>54</v>
      </c>
      <c r="B32" s="229"/>
      <c r="C32" s="230"/>
      <c r="D32" s="213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31">
        <f>IF(D32="",,VLOOKUP(D32,D$22:D31,1,0))</f>
        <v>0</v>
      </c>
      <c r="F32" s="232">
        <f t="shared" si="1"/>
        <v>0</v>
      </c>
      <c r="G32" s="215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16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18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21">
        <f t="shared" si="2"/>
      </c>
      <c r="R32" s="222">
        <f t="shared" si="3"/>
      </c>
      <c r="S32" s="222">
        <f t="shared" si="4"/>
        <v>0</v>
      </c>
      <c r="T32" s="222">
        <f t="shared" si="5"/>
        <v>0</v>
      </c>
      <c r="U32" s="234">
        <f t="shared" si="6"/>
        <v>0</v>
      </c>
      <c r="V32" s="223">
        <f t="shared" si="7"/>
      </c>
      <c r="W32" s="224" t="s">
        <v>54</v>
      </c>
      <c r="Y32" s="225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26"/>
      <c r="AB32" s="227"/>
      <c r="AC32" s="227"/>
      <c r="BB32" s="8">
        <f t="shared" si="8"/>
      </c>
    </row>
    <row r="33" spans="1:54" ht="12.75">
      <c r="A33" s="228" t="s">
        <v>54</v>
      </c>
      <c r="B33" s="229"/>
      <c r="C33" s="230"/>
      <c r="D33" s="213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31">
        <f>IF(D33="",,VLOOKUP(D33,D$22:D32,1,0))</f>
        <v>0</v>
      </c>
      <c r="F33" s="232">
        <f t="shared" si="1"/>
        <v>0</v>
      </c>
      <c r="G33" s="215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1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18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21">
        <f t="shared" si="2"/>
      </c>
      <c r="R33" s="222">
        <f t="shared" si="3"/>
      </c>
      <c r="S33" s="222">
        <f t="shared" si="4"/>
        <v>0</v>
      </c>
      <c r="T33" s="222">
        <f t="shared" si="5"/>
        <v>0</v>
      </c>
      <c r="U33" s="234">
        <f t="shared" si="6"/>
        <v>0</v>
      </c>
      <c r="V33" s="223">
        <f t="shared" si="7"/>
      </c>
      <c r="W33" s="224" t="s">
        <v>54</v>
      </c>
      <c r="Y33" s="225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26"/>
      <c r="AB33" s="227"/>
      <c r="AC33" s="227"/>
      <c r="BB33" s="8">
        <f t="shared" si="8"/>
      </c>
    </row>
    <row r="34" spans="1:54" ht="12.75">
      <c r="A34" s="228" t="s">
        <v>54</v>
      </c>
      <c r="B34" s="229"/>
      <c r="C34" s="230"/>
      <c r="D34" s="21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31">
        <f>IF(D34="",,VLOOKUP(D34,D$22:D33,1,0))</f>
        <v>0</v>
      </c>
      <c r="F34" s="236">
        <f t="shared" si="1"/>
        <v>0</v>
      </c>
      <c r="G34" s="21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1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21">
        <f t="shared" si="2"/>
      </c>
      <c r="R34" s="222">
        <f t="shared" si="3"/>
      </c>
      <c r="S34" s="222">
        <f t="shared" si="4"/>
        <v>0</v>
      </c>
      <c r="T34" s="222">
        <f t="shared" si="5"/>
        <v>0</v>
      </c>
      <c r="U34" s="234">
        <f t="shared" si="6"/>
        <v>0</v>
      </c>
      <c r="V34" s="223">
        <f t="shared" si="7"/>
      </c>
      <c r="W34" s="224" t="s">
        <v>54</v>
      </c>
      <c r="Y34" s="22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26"/>
      <c r="AB34" s="227"/>
      <c r="AC34" s="227"/>
      <c r="BB34" s="8">
        <f t="shared" si="8"/>
      </c>
    </row>
    <row r="35" spans="1:54" ht="12.75">
      <c r="A35" s="228" t="s">
        <v>54</v>
      </c>
      <c r="B35" s="229"/>
      <c r="C35" s="230"/>
      <c r="D35" s="21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31">
        <f>IF(D35="",,VLOOKUP(D35,D$22:D34,1,0))</f>
        <v>0</v>
      </c>
      <c r="F35" s="236">
        <f t="shared" si="1"/>
        <v>0</v>
      </c>
      <c r="G35" s="21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1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21">
        <f t="shared" si="2"/>
      </c>
      <c r="R35" s="222">
        <f t="shared" si="3"/>
      </c>
      <c r="S35" s="222">
        <f t="shared" si="4"/>
        <v>0</v>
      </c>
      <c r="T35" s="222">
        <f t="shared" si="5"/>
        <v>0</v>
      </c>
      <c r="U35" s="234">
        <f t="shared" si="6"/>
        <v>0</v>
      </c>
      <c r="V35" s="223">
        <f t="shared" si="7"/>
      </c>
      <c r="W35" s="224" t="s">
        <v>54</v>
      </c>
      <c r="Y35" s="22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6"/>
      <c r="AB35" s="227"/>
      <c r="AC35" s="227"/>
      <c r="BB35" s="8">
        <f t="shared" si="8"/>
      </c>
    </row>
    <row r="36" spans="1:54" ht="12.75">
      <c r="A36" s="228" t="s">
        <v>54</v>
      </c>
      <c r="B36" s="229"/>
      <c r="C36" s="230"/>
      <c r="D36" s="21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31">
        <f>IF(D36="",,VLOOKUP(D36,D$22:D35,1,0))</f>
        <v>0</v>
      </c>
      <c r="F36" s="236">
        <f t="shared" si="1"/>
        <v>0</v>
      </c>
      <c r="G36" s="21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1">
        <f t="shared" si="2"/>
      </c>
      <c r="R36" s="222">
        <f t="shared" si="3"/>
      </c>
      <c r="S36" s="222">
        <f t="shared" si="4"/>
        <v>0</v>
      </c>
      <c r="T36" s="222">
        <f t="shared" si="5"/>
        <v>0</v>
      </c>
      <c r="U36" s="234">
        <f t="shared" si="6"/>
        <v>0</v>
      </c>
      <c r="V36" s="223">
        <f t="shared" si="7"/>
      </c>
      <c r="W36" s="224" t="s">
        <v>54</v>
      </c>
      <c r="Y36" s="22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6"/>
      <c r="AB36" s="227"/>
      <c r="AC36" s="227"/>
      <c r="BB36" s="8">
        <f t="shared" si="8"/>
      </c>
    </row>
    <row r="37" spans="1:54" ht="12.75">
      <c r="A37" s="228" t="s">
        <v>54</v>
      </c>
      <c r="B37" s="229"/>
      <c r="C37" s="230"/>
      <c r="D37" s="21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31">
        <f>IF(D37="",,VLOOKUP(D37,D$22:D36,1,0))</f>
        <v>0</v>
      </c>
      <c r="F37" s="236">
        <f t="shared" si="1"/>
        <v>0</v>
      </c>
      <c r="G37" s="21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1">
        <f t="shared" si="2"/>
      </c>
      <c r="R37" s="222">
        <f t="shared" si="3"/>
      </c>
      <c r="S37" s="222">
        <f t="shared" si="4"/>
        <v>0</v>
      </c>
      <c r="T37" s="222">
        <f t="shared" si="5"/>
        <v>0</v>
      </c>
      <c r="U37" s="234">
        <f t="shared" si="6"/>
        <v>0</v>
      </c>
      <c r="V37" s="223">
        <f t="shared" si="7"/>
      </c>
      <c r="W37" s="224" t="s">
        <v>54</v>
      </c>
      <c r="Y37" s="22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6"/>
      <c r="AB37" s="227"/>
      <c r="AC37" s="227"/>
      <c r="BB37" s="8">
        <f t="shared" si="8"/>
      </c>
    </row>
    <row r="38" spans="1:54" ht="12.75">
      <c r="A38" s="228" t="s">
        <v>54</v>
      </c>
      <c r="B38" s="229"/>
      <c r="C38" s="230"/>
      <c r="D38" s="21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31">
        <f>IF(D38="",,VLOOKUP(D38,D$22:D37,1,0))</f>
        <v>0</v>
      </c>
      <c r="F38" s="236">
        <f t="shared" si="1"/>
        <v>0</v>
      </c>
      <c r="G38" s="21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1">
        <f t="shared" si="2"/>
      </c>
      <c r="R38" s="222">
        <f t="shared" si="3"/>
      </c>
      <c r="S38" s="222">
        <f t="shared" si="4"/>
        <v>0</v>
      </c>
      <c r="T38" s="222">
        <f t="shared" si="5"/>
        <v>0</v>
      </c>
      <c r="U38" s="234">
        <f t="shared" si="6"/>
        <v>0</v>
      </c>
      <c r="V38" s="223">
        <f t="shared" si="7"/>
      </c>
      <c r="W38" s="224" t="s">
        <v>54</v>
      </c>
      <c r="Y38" s="22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6"/>
      <c r="AB38" s="227"/>
      <c r="AC38" s="227"/>
      <c r="BB38" s="8">
        <f t="shared" si="8"/>
      </c>
    </row>
    <row r="39" spans="1:54" ht="12.75">
      <c r="A39" s="228" t="s">
        <v>54</v>
      </c>
      <c r="B39" s="229"/>
      <c r="C39" s="230"/>
      <c r="D39" s="21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1">
        <f>IF(D39="",,VLOOKUP(D39,D$22:D38,1,0))</f>
        <v>0</v>
      </c>
      <c r="F39" s="236">
        <f t="shared" si="1"/>
        <v>0</v>
      </c>
      <c r="G39" s="21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1">
        <f t="shared" si="2"/>
      </c>
      <c r="R39" s="222">
        <f t="shared" si="3"/>
      </c>
      <c r="S39" s="222">
        <f t="shared" si="4"/>
        <v>0</v>
      </c>
      <c r="T39" s="222">
        <f t="shared" si="5"/>
        <v>0</v>
      </c>
      <c r="U39" s="234">
        <f t="shared" si="6"/>
        <v>0</v>
      </c>
      <c r="V39" s="223">
        <f t="shared" si="7"/>
      </c>
      <c r="W39" s="224" t="s">
        <v>54</v>
      </c>
      <c r="Y39" s="22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6"/>
      <c r="AB39" s="227"/>
      <c r="AC39" s="227"/>
      <c r="BB39" s="8">
        <f t="shared" si="8"/>
      </c>
    </row>
    <row r="40" spans="1:54" ht="12.75">
      <c r="A40" s="228" t="s">
        <v>54</v>
      </c>
      <c r="B40" s="229"/>
      <c r="C40" s="230"/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1">
        <f>IF(D40="",,VLOOKUP(D40,D$22:D39,1,0))</f>
        <v>0</v>
      </c>
      <c r="F40" s="236">
        <f t="shared" si="1"/>
        <v>0</v>
      </c>
      <c r="G40" s="21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1">
        <f t="shared" si="2"/>
      </c>
      <c r="R40" s="222">
        <f t="shared" si="3"/>
      </c>
      <c r="S40" s="222">
        <f t="shared" si="4"/>
        <v>0</v>
      </c>
      <c r="T40" s="222">
        <f t="shared" si="5"/>
        <v>0</v>
      </c>
      <c r="U40" s="234">
        <f t="shared" si="6"/>
        <v>0</v>
      </c>
      <c r="V40" s="223">
        <f t="shared" si="7"/>
      </c>
      <c r="W40" s="224" t="s">
        <v>54</v>
      </c>
      <c r="Y40" s="22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/>
      <c r="AC40" s="227"/>
      <c r="BB40" s="8">
        <f t="shared" si="8"/>
      </c>
    </row>
    <row r="41" spans="1:54" ht="12.75">
      <c r="A41" s="228" t="s">
        <v>54</v>
      </c>
      <c r="B41" s="229"/>
      <c r="C41" s="230"/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1">
        <f>IF(D41="",,VLOOKUP(D41,D$22:D40,1,0))</f>
        <v>0</v>
      </c>
      <c r="F41" s="236">
        <f t="shared" si="1"/>
        <v>0</v>
      </c>
      <c r="G41" s="21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 t="shared" si="2"/>
      </c>
      <c r="R41" s="222">
        <f t="shared" si="3"/>
      </c>
      <c r="S41" s="222">
        <f t="shared" si="4"/>
        <v>0</v>
      </c>
      <c r="T41" s="222">
        <f t="shared" si="5"/>
        <v>0</v>
      </c>
      <c r="U41" s="234">
        <f t="shared" si="6"/>
        <v>0</v>
      </c>
      <c r="V41" s="223">
        <f t="shared" si="7"/>
      </c>
      <c r="W41" s="224" t="s">
        <v>54</v>
      </c>
      <c r="Y41" s="22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/>
      <c r="AC41" s="227"/>
      <c r="BB41" s="8">
        <f t="shared" si="8"/>
      </c>
    </row>
    <row r="42" spans="1:54" ht="12.75">
      <c r="A42" s="228" t="s">
        <v>54</v>
      </c>
      <c r="B42" s="229"/>
      <c r="C42" s="230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6">
        <f t="shared" si="1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2"/>
      </c>
      <c r="R42" s="222">
        <f t="shared" si="3"/>
      </c>
      <c r="S42" s="222">
        <f t="shared" si="4"/>
        <v>0</v>
      </c>
      <c r="T42" s="222">
        <f t="shared" si="5"/>
        <v>0</v>
      </c>
      <c r="U42" s="234">
        <f t="shared" si="6"/>
        <v>0</v>
      </c>
      <c r="V42" s="223">
        <f t="shared" si="7"/>
      </c>
      <c r="W42" s="224" t="s">
        <v>54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8"/>
      </c>
    </row>
    <row r="43" spans="1:54" ht="12.75">
      <c r="A43" s="228" t="s">
        <v>54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 t="shared" si="1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2"/>
      </c>
      <c r="R43" s="222">
        <f t="shared" si="3"/>
      </c>
      <c r="S43" s="222">
        <f t="shared" si="4"/>
        <v>0</v>
      </c>
      <c r="T43" s="222">
        <f t="shared" si="5"/>
        <v>0</v>
      </c>
      <c r="U43" s="234">
        <f t="shared" si="6"/>
        <v>0</v>
      </c>
      <c r="V43" s="223">
        <f t="shared" si="7"/>
      </c>
      <c r="W43" s="224" t="s">
        <v>54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8"/>
      </c>
    </row>
    <row r="44" spans="1:54" ht="12.75">
      <c r="A44" s="228" t="s">
        <v>54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1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2"/>
      </c>
      <c r="R44" s="222">
        <f t="shared" si="3"/>
      </c>
      <c r="S44" s="222">
        <f t="shared" si="4"/>
        <v>0</v>
      </c>
      <c r="T44" s="222">
        <f t="shared" si="5"/>
        <v>0</v>
      </c>
      <c r="U44" s="234">
        <f t="shared" si="6"/>
        <v>0</v>
      </c>
      <c r="V44" s="223">
        <f t="shared" si="7"/>
      </c>
      <c r="W44" s="224" t="s">
        <v>54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8"/>
      </c>
    </row>
    <row r="45" spans="1:54" ht="12.75">
      <c r="A45" s="228" t="s">
        <v>54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1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2"/>
      </c>
      <c r="R45" s="222">
        <f t="shared" si="3"/>
      </c>
      <c r="S45" s="222">
        <f t="shared" si="4"/>
        <v>0</v>
      </c>
      <c r="T45" s="222">
        <f t="shared" si="5"/>
        <v>0</v>
      </c>
      <c r="U45" s="234">
        <f t="shared" si="6"/>
        <v>0</v>
      </c>
      <c r="V45" s="223">
        <f t="shared" si="7"/>
      </c>
      <c r="W45" s="224" t="s">
        <v>54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8"/>
      </c>
    </row>
    <row r="46" spans="1:54" ht="12.75">
      <c r="A46" s="228" t="s">
        <v>54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1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2"/>
      </c>
      <c r="R46" s="222">
        <f t="shared" si="3"/>
      </c>
      <c r="S46" s="222">
        <f t="shared" si="4"/>
        <v>0</v>
      </c>
      <c r="T46" s="222">
        <f t="shared" si="5"/>
        <v>0</v>
      </c>
      <c r="U46" s="234">
        <f t="shared" si="6"/>
        <v>0</v>
      </c>
      <c r="V46" s="223">
        <f t="shared" si="7"/>
      </c>
      <c r="W46" s="224" t="s">
        <v>54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8"/>
      </c>
    </row>
    <row r="47" spans="1:54" ht="12.75">
      <c r="A47" s="228" t="s">
        <v>54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1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2"/>
      </c>
      <c r="R47" s="222">
        <f t="shared" si="3"/>
      </c>
      <c r="S47" s="222">
        <f t="shared" si="4"/>
        <v>0</v>
      </c>
      <c r="T47" s="222">
        <f t="shared" si="5"/>
        <v>0</v>
      </c>
      <c r="U47" s="234">
        <f t="shared" si="6"/>
        <v>0</v>
      </c>
      <c r="V47" s="223">
        <f t="shared" si="7"/>
      </c>
      <c r="W47" s="224" t="s">
        <v>54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8"/>
      </c>
    </row>
    <row r="48" spans="1:54" ht="12.75">
      <c r="A48" s="228" t="s">
        <v>54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1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2"/>
      </c>
      <c r="R48" s="222">
        <f t="shared" si="3"/>
      </c>
      <c r="S48" s="222">
        <f t="shared" si="4"/>
        <v>0</v>
      </c>
      <c r="T48" s="222">
        <f t="shared" si="5"/>
        <v>0</v>
      </c>
      <c r="U48" s="234">
        <f t="shared" si="6"/>
        <v>0</v>
      </c>
      <c r="V48" s="223">
        <f t="shared" si="7"/>
      </c>
      <c r="W48" s="224" t="s">
        <v>54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8"/>
      </c>
    </row>
    <row r="49" spans="1:54" ht="12.75">
      <c r="A49" s="228" t="s">
        <v>54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1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2"/>
      </c>
      <c r="R49" s="222">
        <f t="shared" si="3"/>
      </c>
      <c r="S49" s="222">
        <f t="shared" si="4"/>
        <v>0</v>
      </c>
      <c r="T49" s="222">
        <f t="shared" si="5"/>
        <v>0</v>
      </c>
      <c r="U49" s="234">
        <f t="shared" si="6"/>
        <v>0</v>
      </c>
      <c r="V49" s="223">
        <f t="shared" si="7"/>
      </c>
      <c r="W49" s="224" t="s">
        <v>54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8"/>
      </c>
    </row>
    <row r="50" spans="1:54" ht="12.75">
      <c r="A50" s="228" t="s">
        <v>54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1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2"/>
      </c>
      <c r="R50" s="222">
        <f t="shared" si="3"/>
      </c>
      <c r="S50" s="222">
        <f t="shared" si="4"/>
        <v>0</v>
      </c>
      <c r="T50" s="222">
        <f t="shared" si="5"/>
        <v>0</v>
      </c>
      <c r="U50" s="234">
        <f t="shared" si="6"/>
        <v>0</v>
      </c>
      <c r="V50" s="223">
        <f t="shared" si="7"/>
      </c>
      <c r="W50" s="224" t="s">
        <v>54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8"/>
      </c>
    </row>
    <row r="51" spans="1:54" ht="12.75">
      <c r="A51" s="228" t="s">
        <v>54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1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2"/>
      </c>
      <c r="R51" s="222">
        <f t="shared" si="3"/>
      </c>
      <c r="S51" s="222">
        <f t="shared" si="4"/>
        <v>0</v>
      </c>
      <c r="T51" s="222">
        <f t="shared" si="5"/>
        <v>0</v>
      </c>
      <c r="U51" s="234">
        <f t="shared" si="6"/>
        <v>0</v>
      </c>
      <c r="V51" s="223">
        <f t="shared" si="7"/>
      </c>
      <c r="W51" s="224" t="s">
        <v>54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8"/>
      </c>
    </row>
    <row r="52" spans="1:54" ht="12.75">
      <c r="A52" s="228" t="s">
        <v>54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1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2"/>
      </c>
      <c r="R52" s="222">
        <f t="shared" si="3"/>
      </c>
      <c r="S52" s="222">
        <f t="shared" si="4"/>
        <v>0</v>
      </c>
      <c r="T52" s="222">
        <f t="shared" si="5"/>
        <v>0</v>
      </c>
      <c r="U52" s="234">
        <f t="shared" si="6"/>
        <v>0</v>
      </c>
      <c r="V52" s="223">
        <f t="shared" si="7"/>
      </c>
      <c r="W52" s="224" t="s">
        <v>54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8"/>
      </c>
    </row>
    <row r="53" spans="1:54" ht="12.75">
      <c r="A53" s="228" t="s">
        <v>54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1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2"/>
      </c>
      <c r="R53" s="222">
        <f t="shared" si="3"/>
      </c>
      <c r="S53" s="222">
        <f t="shared" si="4"/>
        <v>0</v>
      </c>
      <c r="T53" s="222">
        <f t="shared" si="5"/>
        <v>0</v>
      </c>
      <c r="U53" s="234">
        <f t="shared" si="6"/>
        <v>0</v>
      </c>
      <c r="V53" s="223">
        <f t="shared" si="7"/>
      </c>
      <c r="W53" s="224" t="s">
        <v>54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8"/>
      </c>
    </row>
    <row r="54" spans="1:54" ht="12.75">
      <c r="A54" s="228" t="s">
        <v>54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1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2"/>
      </c>
      <c r="R54" s="222">
        <f t="shared" si="3"/>
      </c>
      <c r="S54" s="222">
        <f t="shared" si="4"/>
        <v>0</v>
      </c>
      <c r="T54" s="222">
        <f t="shared" si="5"/>
        <v>0</v>
      </c>
      <c r="U54" s="234">
        <f t="shared" si="6"/>
        <v>0</v>
      </c>
      <c r="V54" s="223">
        <f t="shared" si="7"/>
      </c>
      <c r="W54" s="224" t="s">
        <v>54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8"/>
      </c>
    </row>
    <row r="55" spans="1:54" ht="12.75">
      <c r="A55" s="228" t="s">
        <v>54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t="shared" si="1"/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2"/>
      </c>
      <c r="R55" s="222">
        <f t="shared" si="3"/>
      </c>
      <c r="S55" s="222">
        <f t="shared" si="4"/>
        <v>0</v>
      </c>
      <c r="T55" s="222">
        <f t="shared" si="5"/>
        <v>0</v>
      </c>
      <c r="U55" s="234">
        <f t="shared" si="6"/>
        <v>0</v>
      </c>
      <c r="V55" s="223">
        <f t="shared" si="7"/>
      </c>
      <c r="W55" s="224" t="s">
        <v>54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t="shared" si="8"/>
      </c>
    </row>
    <row r="56" spans="1:54" ht="12.75">
      <c r="A56" s="228" t="s">
        <v>54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1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2"/>
      </c>
      <c r="R56" s="222">
        <f t="shared" si="3"/>
      </c>
      <c r="S56" s="222">
        <f t="shared" si="4"/>
        <v>0</v>
      </c>
      <c r="T56" s="222">
        <f t="shared" si="5"/>
        <v>0</v>
      </c>
      <c r="U56" s="234">
        <f t="shared" si="6"/>
        <v>0</v>
      </c>
      <c r="V56" s="223">
        <f t="shared" si="7"/>
      </c>
      <c r="W56" s="224" t="s">
        <v>54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8"/>
      </c>
    </row>
    <row r="57" spans="1:54" ht="12.75">
      <c r="A57" s="228" t="s">
        <v>54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1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2"/>
      </c>
      <c r="R57" s="222">
        <f t="shared" si="3"/>
      </c>
      <c r="S57" s="222">
        <f t="shared" si="4"/>
        <v>0</v>
      </c>
      <c r="T57" s="222">
        <f t="shared" si="5"/>
        <v>0</v>
      </c>
      <c r="U57" s="234">
        <f t="shared" si="6"/>
        <v>0</v>
      </c>
      <c r="V57" s="223">
        <f t="shared" si="7"/>
      </c>
      <c r="W57" s="224" t="s">
        <v>54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8"/>
      </c>
    </row>
    <row r="58" spans="1:54" ht="12.75">
      <c r="A58" s="228" t="s">
        <v>54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1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2"/>
      </c>
      <c r="R58" s="222">
        <f t="shared" si="3"/>
      </c>
      <c r="S58" s="222">
        <f t="shared" si="4"/>
        <v>0</v>
      </c>
      <c r="T58" s="222">
        <f t="shared" si="5"/>
        <v>0</v>
      </c>
      <c r="U58" s="234">
        <f t="shared" si="6"/>
        <v>0</v>
      </c>
      <c r="V58" s="223">
        <f t="shared" si="7"/>
      </c>
      <c r="W58" s="224" t="s">
        <v>54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8"/>
      </c>
    </row>
    <row r="59" spans="1:54" ht="12.75">
      <c r="A59" s="228" t="s">
        <v>54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1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2"/>
      </c>
      <c r="R59" s="222">
        <f t="shared" si="3"/>
      </c>
      <c r="S59" s="222">
        <f t="shared" si="4"/>
        <v>0</v>
      </c>
      <c r="T59" s="222">
        <f t="shared" si="5"/>
        <v>0</v>
      </c>
      <c r="U59" s="234">
        <f t="shared" si="6"/>
        <v>0</v>
      </c>
      <c r="V59" s="223">
        <f t="shared" si="7"/>
      </c>
      <c r="W59" s="224" t="s">
        <v>54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8"/>
      </c>
    </row>
    <row r="60" spans="1:54" ht="12.75">
      <c r="A60" s="228" t="s">
        <v>54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1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2"/>
      </c>
      <c r="R60" s="222">
        <f t="shared" si="3"/>
      </c>
      <c r="S60" s="222">
        <f t="shared" si="4"/>
        <v>0</v>
      </c>
      <c r="T60" s="222">
        <f t="shared" si="5"/>
        <v>0</v>
      </c>
      <c r="U60" s="234">
        <f t="shared" si="6"/>
        <v>0</v>
      </c>
      <c r="V60" s="223">
        <f t="shared" si="7"/>
      </c>
      <c r="W60" s="224" t="s">
        <v>54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8"/>
      </c>
    </row>
    <row r="61" spans="1:54" ht="12.75">
      <c r="A61" s="228" t="s">
        <v>54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1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2"/>
      </c>
      <c r="R61" s="222">
        <f t="shared" si="3"/>
      </c>
      <c r="S61" s="222">
        <f t="shared" si="4"/>
        <v>0</v>
      </c>
      <c r="T61" s="222">
        <f t="shared" si="5"/>
        <v>0</v>
      </c>
      <c r="U61" s="234">
        <f t="shared" si="6"/>
        <v>0</v>
      </c>
      <c r="V61" s="223">
        <f t="shared" si="7"/>
      </c>
      <c r="W61" s="224" t="s">
        <v>54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8"/>
      </c>
    </row>
    <row r="62" spans="1:54" ht="12.75">
      <c r="A62" s="228" t="s">
        <v>54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1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2"/>
      </c>
      <c r="R62" s="222">
        <f t="shared" si="3"/>
      </c>
      <c r="S62" s="222">
        <f t="shared" si="4"/>
        <v>0</v>
      </c>
      <c r="T62" s="222">
        <f t="shared" si="5"/>
        <v>0</v>
      </c>
      <c r="U62" s="234">
        <f t="shared" si="6"/>
        <v>0</v>
      </c>
      <c r="V62" s="223">
        <f t="shared" si="7"/>
      </c>
      <c r="W62" s="224" t="s">
        <v>54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8"/>
      </c>
    </row>
    <row r="63" spans="1:54" ht="12.75" hidden="1">
      <c r="A63" s="228" t="s">
        <v>54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1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2"/>
      </c>
      <c r="R63" s="222">
        <f t="shared" si="3"/>
      </c>
      <c r="S63" s="222">
        <f t="shared" si="4"/>
        <v>0</v>
      </c>
      <c r="T63" s="222">
        <f t="shared" si="5"/>
        <v>0</v>
      </c>
      <c r="U63" s="234">
        <f t="shared" si="6"/>
        <v>0</v>
      </c>
      <c r="V63" s="223">
        <f t="shared" si="7"/>
      </c>
      <c r="W63" s="224" t="s">
        <v>54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8"/>
      </c>
    </row>
    <row r="64" spans="1:54" ht="12.75" customHeight="1" hidden="1">
      <c r="A64" s="228" t="s">
        <v>54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1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2"/>
      </c>
      <c r="R64" s="222">
        <f t="shared" si="3"/>
      </c>
      <c r="S64" s="222">
        <f t="shared" si="4"/>
        <v>0</v>
      </c>
      <c r="T64" s="222">
        <f t="shared" si="5"/>
        <v>0</v>
      </c>
      <c r="U64" s="234">
        <f t="shared" si="6"/>
        <v>0</v>
      </c>
      <c r="V64" s="223">
        <f t="shared" si="7"/>
      </c>
      <c r="W64" s="224" t="s">
        <v>54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8"/>
      </c>
    </row>
    <row r="65" spans="1:54" ht="12.75" hidden="1">
      <c r="A65" s="228" t="s">
        <v>54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1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2"/>
      </c>
      <c r="R65" s="222">
        <f t="shared" si="3"/>
      </c>
      <c r="S65" s="222">
        <f t="shared" si="4"/>
        <v>0</v>
      </c>
      <c r="T65" s="222">
        <f t="shared" si="5"/>
        <v>0</v>
      </c>
      <c r="U65" s="234">
        <f t="shared" si="6"/>
        <v>0</v>
      </c>
      <c r="V65" s="223">
        <f t="shared" si="7"/>
      </c>
      <c r="W65" s="224" t="s">
        <v>54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8"/>
      </c>
    </row>
    <row r="66" spans="1:54" ht="12.75" hidden="1">
      <c r="A66" s="228" t="s">
        <v>54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1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2"/>
      </c>
      <c r="R66" s="222">
        <f t="shared" si="3"/>
      </c>
      <c r="S66" s="222">
        <f t="shared" si="4"/>
        <v>0</v>
      </c>
      <c r="T66" s="222">
        <f t="shared" si="5"/>
        <v>0</v>
      </c>
      <c r="U66" s="234">
        <f t="shared" si="6"/>
        <v>0</v>
      </c>
      <c r="V66" s="223">
        <f t="shared" si="7"/>
      </c>
      <c r="W66" s="224" t="s">
        <v>54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8"/>
      </c>
    </row>
    <row r="67" spans="1:54" ht="12.75" hidden="1">
      <c r="A67" s="228" t="s">
        <v>54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1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2"/>
      </c>
      <c r="R67" s="222">
        <f t="shared" si="3"/>
      </c>
      <c r="S67" s="222">
        <f t="shared" si="4"/>
        <v>0</v>
      </c>
      <c r="T67" s="222">
        <f t="shared" si="5"/>
        <v>0</v>
      </c>
      <c r="U67" s="234">
        <f t="shared" si="6"/>
        <v>0</v>
      </c>
      <c r="V67" s="223">
        <f t="shared" si="7"/>
      </c>
      <c r="W67" s="224" t="s">
        <v>54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8"/>
      </c>
    </row>
    <row r="68" spans="1:54" ht="12.75" hidden="1">
      <c r="A68" s="228" t="s">
        <v>54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1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2"/>
      </c>
      <c r="R68" s="222">
        <f t="shared" si="3"/>
      </c>
      <c r="S68" s="222">
        <f t="shared" si="4"/>
        <v>0</v>
      </c>
      <c r="T68" s="222">
        <f t="shared" si="5"/>
        <v>0</v>
      </c>
      <c r="U68" s="234">
        <f t="shared" si="6"/>
        <v>0</v>
      </c>
      <c r="V68" s="223">
        <f t="shared" si="7"/>
      </c>
      <c r="W68" s="224" t="s">
        <v>54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8"/>
      </c>
    </row>
    <row r="69" spans="1:54" ht="12.75" hidden="1">
      <c r="A69" s="228" t="s">
        <v>54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1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2"/>
      </c>
      <c r="R69" s="222">
        <f t="shared" si="3"/>
      </c>
      <c r="S69" s="222">
        <f t="shared" si="4"/>
        <v>0</v>
      </c>
      <c r="T69" s="222">
        <f t="shared" si="5"/>
        <v>0</v>
      </c>
      <c r="U69" s="234">
        <f t="shared" si="6"/>
        <v>0</v>
      </c>
      <c r="V69" s="223">
        <f t="shared" si="7"/>
      </c>
      <c r="W69" s="224" t="s">
        <v>54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8"/>
      </c>
    </row>
    <row r="70" spans="1:54" ht="12.75" hidden="1">
      <c r="A70" s="228" t="s">
        <v>54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1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2"/>
      </c>
      <c r="R70" s="222">
        <f t="shared" si="3"/>
      </c>
      <c r="S70" s="222">
        <f t="shared" si="4"/>
        <v>0</v>
      </c>
      <c r="T70" s="222">
        <f t="shared" si="5"/>
        <v>0</v>
      </c>
      <c r="U70" s="234">
        <f t="shared" si="6"/>
        <v>0</v>
      </c>
      <c r="V70" s="223">
        <f t="shared" si="7"/>
      </c>
      <c r="W70" s="224" t="s">
        <v>54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8"/>
      </c>
    </row>
    <row r="71" spans="1:54" ht="12.75" hidden="1">
      <c r="A71" s="228" t="s">
        <v>54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1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2"/>
      </c>
      <c r="R71" s="222">
        <f t="shared" si="3"/>
      </c>
      <c r="S71" s="222">
        <f t="shared" si="4"/>
        <v>0</v>
      </c>
      <c r="T71" s="222">
        <f t="shared" si="5"/>
        <v>0</v>
      </c>
      <c r="U71" s="234">
        <f t="shared" si="6"/>
        <v>0</v>
      </c>
      <c r="V71" s="223">
        <f t="shared" si="7"/>
      </c>
      <c r="W71" s="224" t="s">
        <v>54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8"/>
      </c>
    </row>
    <row r="72" spans="1:54" ht="12.75" hidden="1">
      <c r="A72" s="228" t="s">
        <v>54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1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2"/>
      </c>
      <c r="R72" s="222">
        <f t="shared" si="3"/>
      </c>
      <c r="S72" s="222">
        <f t="shared" si="4"/>
        <v>0</v>
      </c>
      <c r="T72" s="222">
        <f t="shared" si="5"/>
        <v>0</v>
      </c>
      <c r="U72" s="234">
        <f t="shared" si="6"/>
        <v>0</v>
      </c>
      <c r="V72" s="223">
        <f t="shared" si="7"/>
      </c>
      <c r="W72" s="224" t="s">
        <v>54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8"/>
      </c>
    </row>
    <row r="73" spans="1:54" ht="12.75" hidden="1">
      <c r="A73" s="228" t="s">
        <v>54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1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2"/>
      </c>
      <c r="R73" s="222">
        <f t="shared" si="3"/>
      </c>
      <c r="S73" s="222">
        <f t="shared" si="4"/>
        <v>0</v>
      </c>
      <c r="T73" s="222">
        <f t="shared" si="5"/>
        <v>0</v>
      </c>
      <c r="U73" s="234">
        <f t="shared" si="6"/>
        <v>0</v>
      </c>
      <c r="V73" s="223">
        <f t="shared" si="7"/>
      </c>
      <c r="W73" s="224" t="s">
        <v>54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8"/>
      </c>
    </row>
    <row r="74" spans="1:54" ht="12.75" hidden="1">
      <c r="A74" s="228" t="s">
        <v>54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1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2"/>
      </c>
      <c r="R74" s="222">
        <f t="shared" si="3"/>
      </c>
      <c r="S74" s="222">
        <f t="shared" si="4"/>
        <v>0</v>
      </c>
      <c r="T74" s="222">
        <f t="shared" si="5"/>
        <v>0</v>
      </c>
      <c r="U74" s="234">
        <f t="shared" si="6"/>
        <v>0</v>
      </c>
      <c r="V74" s="223">
        <f t="shared" si="7"/>
      </c>
      <c r="W74" s="224" t="s">
        <v>54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8"/>
      </c>
    </row>
    <row r="75" spans="1:54" ht="12.75" hidden="1">
      <c r="A75" s="228" t="s">
        <v>54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1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2"/>
      </c>
      <c r="R75" s="222">
        <f t="shared" si="3"/>
      </c>
      <c r="S75" s="222">
        <f t="shared" si="4"/>
        <v>0</v>
      </c>
      <c r="T75" s="222">
        <f t="shared" si="5"/>
        <v>0</v>
      </c>
      <c r="U75" s="234">
        <f t="shared" si="6"/>
        <v>0</v>
      </c>
      <c r="V75" s="223">
        <f t="shared" si="7"/>
      </c>
      <c r="W75" s="224" t="s">
        <v>54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8"/>
      </c>
    </row>
    <row r="76" spans="1:54" ht="12.75" hidden="1">
      <c r="A76" s="228" t="s">
        <v>54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1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2"/>
      </c>
      <c r="R76" s="222">
        <f t="shared" si="3"/>
      </c>
      <c r="S76" s="222">
        <f t="shared" si="4"/>
        <v>0</v>
      </c>
      <c r="T76" s="222">
        <f t="shared" si="5"/>
        <v>0</v>
      </c>
      <c r="U76" s="234">
        <f t="shared" si="6"/>
        <v>0</v>
      </c>
      <c r="V76" s="223">
        <f t="shared" si="7"/>
      </c>
      <c r="W76" s="224" t="s">
        <v>54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8"/>
      </c>
    </row>
    <row r="77" spans="1:54" ht="12.75" hidden="1">
      <c r="A77" s="228" t="s">
        <v>54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1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2"/>
      </c>
      <c r="R77" s="222">
        <f t="shared" si="3"/>
      </c>
      <c r="S77" s="222">
        <f t="shared" si="4"/>
        <v>0</v>
      </c>
      <c r="T77" s="222">
        <f t="shared" si="5"/>
        <v>0</v>
      </c>
      <c r="U77" s="234">
        <f t="shared" si="6"/>
        <v>0</v>
      </c>
      <c r="V77" s="223">
        <f t="shared" si="7"/>
      </c>
      <c r="W77" s="224" t="s">
        <v>54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8"/>
      </c>
    </row>
    <row r="78" spans="1:54" ht="12.75" hidden="1">
      <c r="A78" s="228" t="s">
        <v>54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1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2"/>
      </c>
      <c r="R78" s="222">
        <f t="shared" si="3"/>
      </c>
      <c r="S78" s="222">
        <f t="shared" si="4"/>
        <v>0</v>
      </c>
      <c r="T78" s="222">
        <f t="shared" si="5"/>
        <v>0</v>
      </c>
      <c r="U78" s="234">
        <f t="shared" si="6"/>
        <v>0</v>
      </c>
      <c r="V78" s="223">
        <f t="shared" si="7"/>
      </c>
      <c r="W78" s="224" t="s">
        <v>54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8"/>
      </c>
    </row>
    <row r="79" spans="1:54" ht="12.75" hidden="1">
      <c r="A79" s="228" t="s">
        <v>54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1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2"/>
      </c>
      <c r="R79" s="222">
        <f t="shared" si="3"/>
      </c>
      <c r="S79" s="222">
        <f t="shared" si="4"/>
        <v>0</v>
      </c>
      <c r="T79" s="222">
        <f t="shared" si="5"/>
        <v>0</v>
      </c>
      <c r="U79" s="234">
        <f t="shared" si="6"/>
        <v>0</v>
      </c>
      <c r="V79" s="223">
        <f t="shared" si="7"/>
      </c>
      <c r="W79" s="224" t="s">
        <v>54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8"/>
      </c>
    </row>
    <row r="80" spans="1:54" ht="12.75" hidden="1">
      <c r="A80" s="228" t="s">
        <v>54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1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2"/>
      </c>
      <c r="R80" s="222">
        <f t="shared" si="3"/>
      </c>
      <c r="S80" s="222">
        <f t="shared" si="4"/>
        <v>0</v>
      </c>
      <c r="T80" s="222">
        <f t="shared" si="5"/>
        <v>0</v>
      </c>
      <c r="U80" s="234">
        <f t="shared" si="6"/>
        <v>0</v>
      </c>
      <c r="V80" s="223">
        <f t="shared" si="7"/>
      </c>
      <c r="W80" s="224" t="s">
        <v>54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8"/>
      </c>
    </row>
    <row r="81" spans="1:54" ht="12.75" hidden="1">
      <c r="A81" s="228" t="s">
        <v>54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1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2"/>
      </c>
      <c r="R81" s="222">
        <f t="shared" si="3"/>
      </c>
      <c r="S81" s="222">
        <f t="shared" si="4"/>
        <v>0</v>
      </c>
      <c r="T81" s="222">
        <f t="shared" si="5"/>
        <v>0</v>
      </c>
      <c r="U81" s="234">
        <f t="shared" si="6"/>
        <v>0</v>
      </c>
      <c r="V81" s="223">
        <f t="shared" si="7"/>
      </c>
      <c r="W81" s="224" t="s">
        <v>54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8"/>
      </c>
    </row>
    <row r="82" spans="1:54" ht="12.75" hidden="1">
      <c r="A82" s="245" t="s">
        <v>54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1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2"/>
      </c>
      <c r="R82" s="222">
        <f t="shared" si="3"/>
      </c>
      <c r="S82" s="222">
        <f t="shared" si="4"/>
        <v>0</v>
      </c>
      <c r="T82" s="222">
        <f t="shared" si="5"/>
        <v>0</v>
      </c>
      <c r="U82" s="234">
        <f t="shared" si="6"/>
        <v>0</v>
      </c>
      <c r="V82" s="223">
        <f t="shared" si="7"/>
      </c>
      <c r="W82" s="257" t="s">
        <v>54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8"/>
      </c>
    </row>
    <row r="83" spans="1:30" ht="15" hidden="1">
      <c r="A83" s="259" t="s">
        <v>84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Establet</v>
      </c>
      <c r="B84" s="265" t="str">
        <f>C3</f>
        <v>Establet à la Charce</v>
      </c>
      <c r="C84" s="266">
        <f>A4</f>
        <v>41444</v>
      </c>
      <c r="D84" s="267">
        <f>IF(ISERROR(SUM($T$23:$T$82)/SUM($U$23:$U$82)),"",SUM($T$23:$T$82)/SUM($U$23:$U$82))</f>
        <v>15.6</v>
      </c>
      <c r="E84" s="268">
        <f>N13</f>
        <v>7</v>
      </c>
      <c r="F84" s="265">
        <f>N14</f>
        <v>4</v>
      </c>
      <c r="G84" s="265">
        <f>N15</f>
        <v>0</v>
      </c>
      <c r="H84" s="265">
        <f>N16</f>
        <v>2</v>
      </c>
      <c r="I84" s="265">
        <f>N17</f>
        <v>2</v>
      </c>
      <c r="J84" s="269">
        <f>N8</f>
        <v>15.25</v>
      </c>
      <c r="K84" s="267">
        <f>N9</f>
        <v>2.277608394786075</v>
      </c>
      <c r="L84" s="268">
        <f>N10</f>
        <v>13</v>
      </c>
      <c r="M84" s="268">
        <f>N11</f>
        <v>19</v>
      </c>
      <c r="N84" s="267">
        <f>O8</f>
        <v>2.5</v>
      </c>
      <c r="O84" s="267">
        <f>O9</f>
        <v>0.5</v>
      </c>
      <c r="P84" s="268">
        <f>O10</f>
        <v>2</v>
      </c>
      <c r="Q84" s="268">
        <f>O11</f>
        <v>3</v>
      </c>
      <c r="R84" s="268">
        <f>F21</f>
        <v>0.334</v>
      </c>
      <c r="S84" s="268">
        <f>K11</f>
        <v>0</v>
      </c>
      <c r="T84" s="268">
        <f>K12</f>
        <v>2</v>
      </c>
      <c r="U84" s="268">
        <f>K13</f>
        <v>5</v>
      </c>
      <c r="V84" s="270">
        <f>K14</f>
        <v>0</v>
      </c>
      <c r="W84" s="271">
        <f>K15</f>
        <v>0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85</v>
      </c>
      <c r="R86" s="8"/>
      <c r="S86" s="223"/>
      <c r="T86" s="8"/>
      <c r="U86" s="8"/>
      <c r="V86" s="8"/>
    </row>
    <row r="87" spans="16:22" ht="12.75" hidden="1">
      <c r="P87" s="8"/>
      <c r="Q87" s="8" t="s">
        <v>86</v>
      </c>
      <c r="R87" s="8"/>
      <c r="S87" s="223">
        <f>VLOOKUP(MAX($S$23:$S$82),($S$23:$U$82),1,0)</f>
        <v>19</v>
      </c>
      <c r="T87" s="8"/>
      <c r="U87" s="8"/>
      <c r="V87" s="8"/>
    </row>
    <row r="88" spans="16:22" ht="12.75" hidden="1">
      <c r="P88" s="8"/>
      <c r="Q88" s="8" t="s">
        <v>87</v>
      </c>
      <c r="R88" s="8"/>
      <c r="S88" s="223">
        <f>VLOOKUP((S87),($S$23:$U$82),2,0)</f>
        <v>57</v>
      </c>
      <c r="T88" s="8"/>
      <c r="U88" s="8"/>
      <c r="V88" s="8"/>
    </row>
    <row r="89" spans="17:20" ht="12.75" hidden="1">
      <c r="Q89" s="8" t="s">
        <v>88</v>
      </c>
      <c r="R89" s="8"/>
      <c r="S89" s="223">
        <f>VLOOKUP((S87),($S$23:$U$82),3,0)</f>
        <v>3</v>
      </c>
      <c r="T89" s="8"/>
    </row>
    <row r="90" spans="17:20" ht="12.75">
      <c r="Q90" s="8" t="s">
        <v>89</v>
      </c>
      <c r="R90" s="8"/>
      <c r="S90" s="274">
        <f>IF(ISERROR(SUM($T$23:$T$82)/SUM($U$23:$U$82)),"",(SUM($T$23:$T$82)-S88)/(SUM($U$23:$U$82)-S89))</f>
        <v>14.142857142857142</v>
      </c>
      <c r="T90" s="8"/>
    </row>
    <row r="91" spans="17:21" ht="12.75">
      <c r="Q91" s="222" t="s">
        <v>90</v>
      </c>
      <c r="R91" s="222"/>
      <c r="S91" s="222" t="str">
        <f>INDEX('[1]liste reference'!$A$8:$A$904,$T$91)</f>
        <v>JUGATR</v>
      </c>
      <c r="T91" s="8">
        <f>IF(ISERROR(MATCH($S$93,'[1]liste reference'!$A$8:$A$904,0)),MATCH($S$93,'[1]liste reference'!$B$8:$B$904,0),(MATCH($S$93,'[1]liste reference'!$A$8:$A$904,0)))</f>
        <v>101</v>
      </c>
      <c r="U91" s="263"/>
    </row>
    <row r="92" spans="17:20" ht="12.75">
      <c r="Q92" s="8" t="s">
        <v>91</v>
      </c>
      <c r="R92" s="8"/>
      <c r="S92" s="8">
        <f>MATCH(S87,$S$23:$S$82,0)</f>
        <v>3</v>
      </c>
      <c r="T92" s="8"/>
    </row>
    <row r="93" spans="17:20" ht="12.75">
      <c r="Q93" s="222" t="s">
        <v>92</v>
      </c>
      <c r="R93" s="8"/>
      <c r="S93" s="222" t="str">
        <f>INDEX($A$23:$A$82,$S$92)</f>
        <v>JUGATR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2013-12-16T15:31:18Z</dcterms:created>
  <dcterms:modified xsi:type="dcterms:W3CDTF">2013-12-16T15:31:28Z</dcterms:modified>
  <cp:category/>
  <cp:version/>
  <cp:contentType/>
  <cp:contentStatus/>
</cp:coreProperties>
</file>