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<sst xmlns="http://schemas.openxmlformats.org/spreadsheetml/2006/main" count="222" uniqueCount="94">
  <si>
    <t>Relevés floristiques aquatiques - IBMR</t>
  </si>
  <si>
    <t xml:space="preserve">Formulaire modèle GIS Macrophytes v 3.1.1 - janvier 2013  </t>
  </si>
  <si>
    <t>SAGE</t>
  </si>
  <si>
    <t>L. BOURGOIN C. BERNARD</t>
  </si>
  <si>
    <t>conforme AFNOR T90-395 oct. 2003</t>
  </si>
  <si>
    <t>LEZ</t>
  </si>
  <si>
    <t>LEZ A TAULIGNAN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</si>
  <si>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</si>
  <si>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</si>
  <si>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</si>
  <si>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</si>
  <si>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</si>
  <si>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</si>
  <si>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</si>
  <si>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</si>
  <si>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</si>
  <si>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</si>
  <si>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</si>
  <si>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</si>
  <si>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</si>
  <si>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</si>
  <si>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</si>
  <si>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</si>
  <si>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</si>
  <si>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</si>
  <si>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</si>
  <si>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</si>
  <si>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</si>
  <si>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</si>
  <si>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</si>
  <si>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</si>
  <si>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</si>
  <si>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</si>
  <si>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</si>
  <si>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</si>
  <si>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</si>
  <si>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</si>
  <si>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</si>
  <si>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</si>
  <si>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</si>
  <si>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</si>
  <si>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</si>
  <si>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</si>
  <si>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</si>
  <si>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</si>
  <si>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</si>
  <si>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</si>
  <si>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</si>
  <si>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</si>
  <si>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</si>
  <si>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</si>
  <si>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</si>
  <si>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</si>
  <si>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</si>
  <si>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</si>
  <si>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</si>
  <si>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</si>
  <si>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</si>
  <si>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</si>
  <si>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</si>
  <si>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</si>
  <si>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</si>
  <si>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</si>
  <si>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</si>
  <si>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</si>
  <si>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</si>
  <si>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</si>
  <si>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</si>
  <si>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</si>
  <si>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</si>
  <si>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</si>
  <si>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</si>
  <si>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</si>
  <si>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</si>
  <si>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</si>
  <si>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</si>
  <si>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</si>
  <si>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</si>
  <si>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MENAQU</t>
  </si>
  <si>
    <t>MENLON</t>
  </si>
  <si>
    <t>newcod</t>
  </si>
  <si>
    <t xml:space="preserve">Salix elaeagnos </t>
  </si>
  <si>
    <t>Salix purpurea</t>
  </si>
  <si>
    <t>Diatomées coloniales autres que Diatoma sp.</t>
  </si>
  <si>
    <t xml:space="preserve">fibres végétales 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</si>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</sst>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1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7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7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9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9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7" fillId="38" borderId="77" xfId="0" applyFont="1" applyFill="1" applyBorder="1" applyAlignment="1" applyProtection="1">
      <alignment horizontal="right"/>
      <protection hidden="1"/>
    </xf>
    <xf numFmtId="0" fontId="27" fillId="38" borderId="77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LEZTA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>
        <v>6117220</v>
      </c>
      <c r="L3" s="28"/>
      <c r="M3" s="29" t="s">
        <v>7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41443</v>
      </c>
      <c r="B4" s="33"/>
      <c r="C4" s="34"/>
      <c r="D4" s="35"/>
      <c r="E4" s="35"/>
      <c r="F4" s="34"/>
      <c r="G4" s="34"/>
      <c r="H4" s="35"/>
      <c r="I4" s="36" t="s">
        <v>8</v>
      </c>
      <c r="J4" s="37"/>
      <c r="K4" s="37"/>
      <c r="L4" s="38"/>
      <c r="M4" s="38"/>
      <c r="N4" s="39" t="s">
        <v>9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10</v>
      </c>
      <c r="B5" s="43" t="s">
        <v>11</v>
      </c>
      <c r="C5" s="44" t="s">
        <v>12</v>
      </c>
      <c r="D5" s="45"/>
      <c r="E5" s="45"/>
      <c r="F5" s="46" t="s">
        <v>13</v>
      </c>
      <c r="G5" s="47"/>
      <c r="H5" s="45"/>
      <c r="I5" s="48"/>
      <c r="J5" s="49"/>
      <c r="K5" s="50" t="s">
        <v>14</v>
      </c>
      <c r="L5" s="51">
        <v>13.333333333333334</v>
      </c>
      <c r="M5" s="52"/>
      <c r="N5" s="53" t="s">
        <v>15</v>
      </c>
      <c r="O5" s="54">
        <v>12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9" t="s">
        <v>21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98</v>
      </c>
      <c r="C7" s="65">
        <v>2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5" t="s">
        <v>24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25</v>
      </c>
      <c r="B8" s="271"/>
      <c r="C8" s="271"/>
      <c r="D8" s="66"/>
      <c r="E8" s="66"/>
      <c r="F8" s="77" t="s">
        <v>26</v>
      </c>
      <c r="G8" s="78"/>
      <c r="H8" s="79"/>
      <c r="I8" s="69"/>
      <c r="J8" s="70"/>
      <c r="K8" s="71"/>
      <c r="L8" s="72"/>
      <c r="M8" s="80" t="s">
        <v>27</v>
      </c>
      <c r="N8" s="81">
        <f>IF(ISERROR(AVERAGE(I23:I82)),"     -",AVERAGE(I23:I82))</f>
        <v>13</v>
      </c>
      <c r="O8" s="81">
        <f>IF(ISERROR(AVERAGE(J23:J82)),"      -",AVERAGE(J23:J82))</f>
        <v>1.5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3">
        <v>1.52</v>
      </c>
      <c r="C9" s="84">
        <v>6.55</v>
      </c>
      <c r="D9" s="85"/>
      <c r="E9" s="85"/>
      <c r="F9" s="86">
        <f aca="true" t="shared" si="0" ref="F9:F15">($B9*$B$7+$C9*$C$7)/100</f>
        <v>1.6206</v>
      </c>
      <c r="G9" s="87"/>
      <c r="H9" s="88"/>
      <c r="I9" s="89"/>
      <c r="J9" s="90"/>
      <c r="K9" s="71"/>
      <c r="L9" s="91"/>
      <c r="M9" s="80" t="s">
        <v>29</v>
      </c>
      <c r="N9" s="81">
        <f>IF(ISERROR(STDEVP(I23:I82)),"     -",STDEVP(I23:I82))</f>
        <v>1</v>
      </c>
      <c r="O9" s="81">
        <f>IF(ISERROR(STDEVP(J23:J82)),"      -",STDEVP(J23:J82))</f>
        <v>0.5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30</v>
      </c>
      <c r="B10" s="95" t="s">
        <v>31</v>
      </c>
      <c r="C10" s="96" t="s">
        <v>31</v>
      </c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12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14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1.51</v>
      </c>
      <c r="C12" s="115">
        <v>6.5</v>
      </c>
      <c r="D12" s="108"/>
      <c r="E12" s="108"/>
      <c r="F12" s="109">
        <f t="shared" si="0"/>
        <v>1.6098</v>
      </c>
      <c r="G12" s="116"/>
      <c r="H12" s="66"/>
      <c r="I12" s="274" t="s">
        <v>38</v>
      </c>
      <c r="J12" s="265"/>
      <c r="K12" s="111">
        <f>COUNTIF($G$23:$G$82,"=ALG")</f>
        <v>0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/>
      <c r="D13" s="108"/>
      <c r="E13" s="108"/>
      <c r="F13" s="109">
        <f t="shared" si="0"/>
        <v>0</v>
      </c>
      <c r="G13" s="116"/>
      <c r="H13" s="66"/>
      <c r="I13" s="264" t="s">
        <v>40</v>
      </c>
      <c r="J13" s="265"/>
      <c r="K13" s="111">
        <f>COUNTIF($G$23:$G$82,"=BRm")+COUNTIF($G$23:$G$82,"=BRh")</f>
        <v>0</v>
      </c>
      <c r="L13" s="112"/>
      <c r="M13" s="122" t="s">
        <v>41</v>
      </c>
      <c r="N13" s="123">
        <f>COUNTIF(F23:F82,"&gt;0")</f>
        <v>6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2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>
        <v>0.01</v>
      </c>
      <c r="C15" s="131">
        <v>0.05</v>
      </c>
      <c r="D15" s="108"/>
      <c r="E15" s="108"/>
      <c r="F15" s="109">
        <f t="shared" si="0"/>
        <v>0.0108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3</v>
      </c>
      <c r="L15" s="112"/>
      <c r="M15" s="132" t="s">
        <v>47</v>
      </c>
      <c r="N15" s="133">
        <f>COUNTIF(J23:J82,"=1")</f>
        <v>1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1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1.51</v>
      </c>
      <c r="C17" s="115">
        <v>6.5</v>
      </c>
      <c r="D17" s="108"/>
      <c r="E17" s="108"/>
      <c r="F17" s="139"/>
      <c r="G17" s="109">
        <f>($B17*$B$7+$C17*$C$7)/100</f>
        <v>1.6098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>
        <v>0.01</v>
      </c>
      <c r="C18" s="143">
        <v>0.05</v>
      </c>
      <c r="D18" s="108"/>
      <c r="E18" s="144" t="s">
        <v>53</v>
      </c>
      <c r="F18" s="139"/>
      <c r="G18" s="109">
        <f>($B18*$B$7+$C18*$C$7)/100</f>
        <v>0.0108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1.6205999999999998</v>
      </c>
      <c r="G19" s="153">
        <f>SUM(G16:G18)</f>
        <v>1.6205999999999998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1.518</v>
      </c>
      <c r="C20" s="163">
        <f>SUM(C23:C82)</f>
        <v>6.55</v>
      </c>
      <c r="D20" s="164"/>
      <c r="E20" s="165" t="s">
        <v>53</v>
      </c>
      <c r="F20" s="166">
        <f>($B20*$B$7+$C20*$C$7)/100</f>
        <v>1.61864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1.48764</v>
      </c>
      <c r="C21" s="176">
        <f>C20*C7/100</f>
        <v>0.131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1.61864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15</v>
      </c>
      <c r="B23" s="201">
        <v>0.01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Glyceria fluitans</v>
      </c>
      <c r="E23" s="203" t="e">
        <f>IF(D23="",,VLOOKUP(D23,D$22:D22,1,0))</f>
        <v>#N/A</v>
      </c>
      <c r="F23" s="204">
        <f aca="true" t="shared" si="1" ref="F23:F82">($B23*$B$7+$C23*$C$7)/100</f>
        <v>0.01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PHe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8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14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Glyceria fluitans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1564</v>
      </c>
      <c r="Q23" s="211">
        <f aca="true" t="shared" si="2" ref="Q23:Q82">IF(ISTEXT(H23),"",(B23*$B$7/100)+(C23*$C$7/100))</f>
        <v>0.01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14</v>
      </c>
      <c r="T23" s="212">
        <f aca="true" t="shared" si="5" ref="T23:T82">IF(ISERROR(R23*I23*J23),0,R23*I23*J23)</f>
        <v>28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GLYFLU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575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78</v>
      </c>
      <c r="B24" s="219">
        <v>0</v>
      </c>
      <c r="C24" s="220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Mentha aquatica</v>
      </c>
      <c r="E24" s="221" t="e">
        <f>IF(D24="",,VLOOKUP(D24,D$22:D23,1,0))</f>
        <v>#N/A</v>
      </c>
      <c r="F24" s="222">
        <f t="shared" si="1"/>
        <v>0.0002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PHe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8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Mentha aquatica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1791</v>
      </c>
      <c r="Q24" s="211">
        <f t="shared" si="2"/>
        <v>0.0002</v>
      </c>
      <c r="R24" s="212">
        <f t="shared" si="3"/>
        <v>1</v>
      </c>
      <c r="S24" s="212">
        <f t="shared" si="4"/>
        <v>12</v>
      </c>
      <c r="T24" s="212">
        <f t="shared" si="5"/>
        <v>12</v>
      </c>
      <c r="U24" s="224">
        <f t="shared" si="6"/>
        <v>1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MENAQU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607</v>
      </c>
      <c r="AA24" s="216"/>
      <c r="AB24" s="217"/>
      <c r="AC24" s="217"/>
      <c r="BB24" s="8">
        <f t="shared" si="8"/>
        <v>1</v>
      </c>
    </row>
    <row r="25" spans="1:54" ht="12.75">
      <c r="A25" s="218" t="s">
        <v>79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Mentha longifolia</v>
      </c>
      <c r="E25" s="221" t="e">
        <f>IF(D25="",,VLOOKUP(D25,D$22:D24,1,0))</f>
        <v>#N/A</v>
      </c>
      <c r="F25" s="222">
        <f t="shared" si="1"/>
        <v>0.0002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PHe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8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Mentha longifolia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19856</v>
      </c>
      <c r="Q25" s="211">
        <f t="shared" si="2"/>
        <v>0.0002</v>
      </c>
      <c r="R25" s="212">
        <f t="shared" si="3"/>
        <v>1</v>
      </c>
      <c r="S25" s="212">
        <f t="shared" si="4"/>
        <v>0</v>
      </c>
      <c r="T25" s="212">
        <f t="shared" si="5"/>
        <v>0</v>
      </c>
      <c r="U25" s="224">
        <f t="shared" si="6"/>
        <v>0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MENLON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609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80</v>
      </c>
      <c r="B26" s="219">
        <v>0</v>
      </c>
      <c r="C26" s="220">
        <v>0.01</v>
      </c>
      <c r="D26" s="20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21">
        <f>IF(D26="",,VLOOKUP(D26,D$22:D25,1,0))</f>
        <v>0</v>
      </c>
      <c r="F26" s="222">
        <f t="shared" si="1"/>
        <v>0.0002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    -</v>
      </c>
      <c r="H26" s="20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Salix elaeagnos </v>
      </c>
      <c r="L26" s="223"/>
      <c r="M26" s="223"/>
      <c r="N26" s="223"/>
      <c r="O26" s="210"/>
      <c r="P26" s="210" t="str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No</v>
      </c>
      <c r="Q26" s="211">
        <f t="shared" si="2"/>
      </c>
      <c r="R26" s="212">
        <f t="shared" si="3"/>
      </c>
      <c r="S26" s="212">
        <f t="shared" si="4"/>
        <v>0</v>
      </c>
      <c r="T26" s="212">
        <f t="shared" si="5"/>
        <v>0</v>
      </c>
      <c r="U26" s="224">
        <f t="shared" si="6"/>
        <v>0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newcod</v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16"/>
      <c r="AB26" s="217" t="s">
        <v>81</v>
      </c>
      <c r="AC26" s="217"/>
      <c r="BB26" s="8">
        <f t="shared" si="8"/>
        <v>1</v>
      </c>
    </row>
    <row r="27" spans="1:54" ht="12.75">
      <c r="A27" s="218" t="s">
        <v>80</v>
      </c>
      <c r="B27" s="219">
        <v>0</v>
      </c>
      <c r="C27" s="220">
        <v>0.01</v>
      </c>
      <c r="D27" s="20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21">
        <f>IF(D27="",,VLOOKUP(D27,D$22:D26,1,0))</f>
        <v>0</v>
      </c>
      <c r="F27" s="222">
        <f t="shared" si="1"/>
        <v>0.0002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    -</v>
      </c>
      <c r="H27" s="20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Salix purpurea</v>
      </c>
      <c r="L27" s="223"/>
      <c r="M27" s="223"/>
      <c r="N27" s="223"/>
      <c r="O27" s="210"/>
      <c r="P27" s="210" t="str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No</v>
      </c>
      <c r="Q27" s="211">
        <f t="shared" si="2"/>
      </c>
      <c r="R27" s="212">
        <f t="shared" si="3"/>
      </c>
      <c r="S27" s="212">
        <f t="shared" si="4"/>
        <v>0</v>
      </c>
      <c r="T27" s="212">
        <f t="shared" si="5"/>
        <v>0</v>
      </c>
      <c r="U27" s="224">
        <f t="shared" si="6"/>
        <v>0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newcod</v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16"/>
      <c r="AB27" s="217" t="s">
        <v>82</v>
      </c>
      <c r="AC27" s="217"/>
      <c r="BB27" s="8">
        <f t="shared" si="8"/>
        <v>1</v>
      </c>
    </row>
    <row r="28" spans="1:54" ht="12.75">
      <c r="A28" s="218" t="s">
        <v>80</v>
      </c>
      <c r="B28" s="219">
        <v>1.508</v>
      </c>
      <c r="C28" s="220">
        <v>6.5</v>
      </c>
      <c r="D28" s="20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1">
        <f>IF(D28="",,VLOOKUP(D28,D$22:D27,1,0))</f>
        <v>0</v>
      </c>
      <c r="F28" s="222">
        <f t="shared" si="1"/>
        <v>1.60784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    -</v>
      </c>
      <c r="H28" s="20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Diatomées coloniales autres que Diatoma sp.</v>
      </c>
      <c r="L28" s="223"/>
      <c r="M28" s="223"/>
      <c r="N28" s="223"/>
      <c r="O28" s="210"/>
      <c r="P28" s="210" t="str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No</v>
      </c>
      <c r="Q28" s="211">
        <f t="shared" si="2"/>
      </c>
      <c r="R28" s="212">
        <f t="shared" si="3"/>
      </c>
      <c r="S28" s="212">
        <f t="shared" si="4"/>
        <v>0</v>
      </c>
      <c r="T28" s="212">
        <f t="shared" si="5"/>
        <v>0</v>
      </c>
      <c r="U28" s="224">
        <f t="shared" si="6"/>
        <v>0</v>
      </c>
      <c r="V28" s="213">
        <f t="shared" si="7"/>
      </c>
      <c r="W28" s="214" t="s">
        <v>54</v>
      </c>
      <c r="Y28" s="215" t="str">
        <f>IF(A28="new.cod","NEWCOD",IF(AND((Z28=""),ISTEXT(A28)),A28,IF(Z28="","",INDEX('[1]liste reference'!$A$8:$A$904,Z28))))</f>
        <v>newcod</v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6"/>
      <c r="AB28" s="217" t="s">
        <v>83</v>
      </c>
      <c r="AC28" s="217"/>
      <c r="BB28" s="8">
        <f t="shared" si="8"/>
        <v>1</v>
      </c>
    </row>
    <row r="29" spans="1:54" ht="12.75">
      <c r="A29" s="218" t="s">
        <v>54</v>
      </c>
      <c r="B29" s="219"/>
      <c r="C29" s="220"/>
      <c r="D29" s="20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1">
        <f>IF(D29="",,VLOOKUP(D29,D$22:D28,1,0))</f>
        <v>0</v>
      </c>
      <c r="F29" s="222">
        <f t="shared" si="1"/>
        <v>0</v>
      </c>
      <c r="G29" s="20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2"/>
      </c>
      <c r="R29" s="212">
        <f t="shared" si="3"/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54</v>
      </c>
      <c r="X29" s="214"/>
      <c r="Y29" s="21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6"/>
      <c r="AB29" s="217" t="s">
        <v>84</v>
      </c>
      <c r="AC29" s="217"/>
      <c r="BB29" s="8">
        <f t="shared" si="8"/>
      </c>
    </row>
    <row r="30" spans="1:54" ht="12.75">
      <c r="A30" s="218" t="s">
        <v>54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1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2"/>
      </c>
      <c r="R30" s="212">
        <f t="shared" si="3"/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54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8"/>
      </c>
    </row>
    <row r="31" spans="1:54" ht="12.75">
      <c r="A31" s="218" t="s">
        <v>54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54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54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54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54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54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LEZ</v>
      </c>
      <c r="B84" s="254" t="str">
        <f>C3</f>
        <v>LEZ A TAULIGNAN</v>
      </c>
      <c r="C84" s="255">
        <f>A4</f>
        <v>41443</v>
      </c>
      <c r="D84" s="256">
        <f>IF(ISERROR(SUM($T$23:$T$82)/SUM($U$23:$U$82)),"",SUM($T$23:$T$82)/SUM($U$23:$U$82))</f>
        <v>13.333333333333334</v>
      </c>
      <c r="E84" s="257">
        <f>N13</f>
        <v>6</v>
      </c>
      <c r="F84" s="254">
        <f>N14</f>
        <v>2</v>
      </c>
      <c r="G84" s="254">
        <f>N15</f>
        <v>1</v>
      </c>
      <c r="H84" s="254">
        <f>N16</f>
        <v>1</v>
      </c>
      <c r="I84" s="254">
        <f>N17</f>
        <v>0</v>
      </c>
      <c r="J84" s="258">
        <f>N8</f>
        <v>13</v>
      </c>
      <c r="K84" s="256">
        <f>N9</f>
        <v>1</v>
      </c>
      <c r="L84" s="257">
        <f>N10</f>
        <v>12</v>
      </c>
      <c r="M84" s="257">
        <f>N11</f>
        <v>14</v>
      </c>
      <c r="N84" s="256">
        <f>O8</f>
        <v>1.5</v>
      </c>
      <c r="O84" s="256">
        <f>O9</f>
        <v>0.5</v>
      </c>
      <c r="P84" s="257">
        <f>O10</f>
        <v>1</v>
      </c>
      <c r="Q84" s="257">
        <f>O11</f>
        <v>2</v>
      </c>
      <c r="R84" s="257">
        <f>F21</f>
        <v>1.61864</v>
      </c>
      <c r="S84" s="257">
        <f>K11</f>
        <v>0</v>
      </c>
      <c r="T84" s="257">
        <f>K12</f>
        <v>0</v>
      </c>
      <c r="U84" s="257">
        <f>K13</f>
        <v>0</v>
      </c>
      <c r="V84" s="259">
        <f>K14</f>
        <v>0</v>
      </c>
      <c r="W84" s="260">
        <f>K15</f>
        <v>3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86</v>
      </c>
      <c r="R86" s="8"/>
      <c r="S86" s="213"/>
      <c r="T86" s="8"/>
      <c r="U86" s="8"/>
      <c r="V86" s="8"/>
    </row>
    <row r="87" spans="16:22" ht="12.75" hidden="1">
      <c r="P87" s="8"/>
      <c r="Q87" s="8" t="s">
        <v>87</v>
      </c>
      <c r="R87" s="8"/>
      <c r="S87" s="213">
        <f>VLOOKUP(MAX($S$23:$S$82),($S$23:$U$82),1,0)</f>
        <v>14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13">
        <f>VLOOKUP((S87),($S$23:$U$82),2,0)</f>
        <v>28</v>
      </c>
      <c r="T88" s="8"/>
      <c r="U88" s="8"/>
      <c r="V88" s="8"/>
    </row>
    <row r="89" spans="17:20" ht="12.75" hidden="1">
      <c r="Q89" s="8" t="s">
        <v>89</v>
      </c>
      <c r="R89" s="8"/>
      <c r="S89" s="213">
        <f>VLOOKUP((S87),($S$23:$U$82),3,0)</f>
        <v>2</v>
      </c>
      <c r="T89" s="8"/>
    </row>
    <row r="90" spans="17:20" ht="12.75">
      <c r="Q90" s="8" t="s">
        <v>90</v>
      </c>
      <c r="R90" s="8"/>
      <c r="S90" s="263">
        <f>IF(ISERROR(SUM($T$23:$T$82)/SUM($U$23:$U$82)),"",(SUM($T$23:$T$82)-S88)/(SUM($U$23:$U$82)-S89))</f>
        <v>12</v>
      </c>
      <c r="T90" s="8"/>
    </row>
    <row r="91" spans="17:21" ht="12.75">
      <c r="Q91" s="212" t="s">
        <v>91</v>
      </c>
      <c r="R91" s="212"/>
      <c r="S91" s="212" t="str">
        <f>INDEX('[1]liste reference'!$A$8:$A$904,$T$91)</f>
        <v>GLYFLU</v>
      </c>
      <c r="T91" s="8">
        <f>IF(ISERROR(MATCH($S$93,'[1]liste reference'!$A$8:$A$904,0)),MATCH($S$93,'[1]liste reference'!$B$8:$B$904,0),(MATCH($S$93,'[1]liste reference'!$A$8:$A$904,0)))</f>
        <v>575</v>
      </c>
      <c r="U91" s="252"/>
    </row>
    <row r="92" spans="17:20" ht="12.75">
      <c r="Q92" s="8" t="s">
        <v>92</v>
      </c>
      <c r="R92" s="8"/>
      <c r="S92" s="8">
        <f>MATCH(S87,$S$23:$S$82,0)</f>
        <v>1</v>
      </c>
      <c r="T92" s="8"/>
    </row>
    <row r="93" spans="17:20" ht="12.75">
      <c r="Q93" s="212" t="s">
        <v>93</v>
      </c>
      <c r="R93" s="8"/>
      <c r="S93" s="212" t="str">
        <f>INDEX($A$23:$A$82,$S$92)</f>
        <v>GLYFLU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2013-12-06T12:41:32Z</dcterms:created>
  <dcterms:modified xsi:type="dcterms:W3CDTF">2013-12-06T12:45:49Z</dcterms:modified>
  <cp:category/>
  <cp:version/>
  <cp:contentType/>
  <cp:contentStatus/>
</cp:coreProperties>
</file>