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<sst xmlns="http://schemas.openxmlformats.org/spreadsheetml/2006/main" count="217" uniqueCount="94">
  <si>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</si>
  <si>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</si>
  <si>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</t>
  </si>
  <si>
    <t>L.BOURGOIN M.GAUTHIER</t>
  </si>
  <si>
    <t>conforme AFNOR T90-395 oct. 2003</t>
  </si>
  <si>
    <t>Isère</t>
  </si>
  <si>
    <t>Isère à Meylan</t>
  </si>
  <si>
    <t>06141900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</si>
  <si>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</si>
  <si>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</si>
  <si>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</si>
  <si>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</si>
  <si>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</si>
  <si>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</si>
  <si>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</si>
  <si>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</si>
  <si>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</si>
  <si>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</si>
  <si>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chenal lotique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</si>
  <si>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</si>
  <si>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</si>
  <si>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</si>
  <si>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</si>
  <si>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</si>
  <si>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</si>
  <si>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</si>
  <si>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</si>
  <si>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</si>
  <si>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</si>
  <si>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</si>
  <si>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</si>
  <si>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</si>
  <si>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</si>
  <si>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</si>
  <si>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</si>
  <si>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</si>
  <si>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</si>
  <si>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</si>
  <si>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</si>
  <si>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</si>
  <si>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</si>
  <si>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</si>
  <si>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</si>
  <si>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</si>
  <si>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</si>
  <si>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</si>
  <si>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</si>
  <si>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</si>
  <si>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</si>
  <si>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</si>
  <si>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</si>
  <si>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</si>
  <si>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</si>
  <si>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</si>
  <si>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</si>
  <si>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</si>
  <si>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</si>
  <si>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</si>
  <si>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</si>
  <si>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</si>
  <si>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</si>
  <si>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</si>
  <si>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</si>
  <si>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</si>
  <si>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</si>
  <si>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</si>
  <si>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</si>
  <si>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</si>
  <si>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</si>
  <si>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</si>
  <si>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</si>
  <si>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</si>
  <si>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</si>
  <si>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</si>
  <si>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</si>
  <si>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</si>
  <si>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</si>
  <si>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</si>
  <si>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</si>
  <si>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</si>
  <si>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FISCRA</t>
  </si>
  <si>
    <t>FONANT</t>
  </si>
  <si>
    <t>RHYRIP</t>
  </si>
  <si>
    <t>EQUSPX</t>
  </si>
  <si>
    <t>LYTSAL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</si>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</sst>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MEYL_2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41907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10.25</v>
      </c>
      <c r="M5" s="52"/>
      <c r="N5" s="53" t="s">
        <v>16</v>
      </c>
      <c r="O5" s="54">
        <v>9.333333333333334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/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9.5</v>
      </c>
      <c r="O8" s="84">
        <f>IF(ISERROR(AVERAGE(J23:J82)),"      -",AVERAGE(J23:J82))</f>
        <v>1.3333333333333333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>
        <v>0.0024</v>
      </c>
      <c r="C9" s="87"/>
      <c r="D9" s="88"/>
      <c r="E9" s="88"/>
      <c r="F9" s="89">
        <f>($B9*$B$7+$C9*$C$7)/100</f>
        <v>0.0024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3.3541019662496847</v>
      </c>
      <c r="O9" s="84">
        <f>IF(ISERROR(STDEVP(J23:J82)),"      -",STDEVP(J23:J82))</f>
        <v>0.4714045207910317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 t="s">
        <v>31</v>
      </c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0.0006</v>
      </c>
      <c r="C12" s="120"/>
      <c r="D12" s="111"/>
      <c r="E12" s="111"/>
      <c r="F12" s="112">
        <f>($B12*$B$7+$C12*$C$7)/100</f>
        <v>0.0006</v>
      </c>
      <c r="G12" s="121"/>
      <c r="H12" s="67"/>
      <c r="I12" s="122" t="s">
        <v>38</v>
      </c>
      <c r="J12" s="123"/>
      <c r="K12" s="116">
        <f>COUNTIF($G$23:$G$82,"=ALG")</f>
        <v>2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0.0012</v>
      </c>
      <c r="C13" s="120"/>
      <c r="D13" s="111"/>
      <c r="E13" s="111"/>
      <c r="F13" s="112">
        <f>($B13*$B$7+$C13*$C$7)/100</f>
        <v>0.0012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1</v>
      </c>
      <c r="L14" s="117"/>
      <c r="M14" s="134" t="s">
        <v>44</v>
      </c>
      <c r="N14" s="135">
        <f>COUNTIF($I$23:$I$82,"&gt;-1")</f>
        <v>6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>
        <v>0.0006</v>
      </c>
      <c r="C15" s="139"/>
      <c r="D15" s="111"/>
      <c r="E15" s="111"/>
      <c r="F15" s="112">
        <f>($B15*$B$7+$C15*$C$7)/100</f>
        <v>0.0006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0.0018</v>
      </c>
      <c r="C17" s="120"/>
      <c r="D17" s="111"/>
      <c r="E17" s="111"/>
      <c r="F17" s="147"/>
      <c r="G17" s="112">
        <f>($B17*$B$7+$C17*$C$7)/100</f>
        <v>0.0018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>
        <v>0.0006</v>
      </c>
      <c r="C18" s="151"/>
      <c r="D18" s="111"/>
      <c r="E18" s="152" t="s">
        <v>53</v>
      </c>
      <c r="F18" s="147"/>
      <c r="G18" s="112">
        <f>($B18*$B$7+$C18*$C$7)/100</f>
        <v>0.0006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0.0024</v>
      </c>
      <c r="G19" s="161">
        <f>SUM(G16:G18)</f>
        <v>0.0024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0.0024</v>
      </c>
      <c r="C20" s="171">
        <f>SUM(C23:C82)</f>
        <v>0</v>
      </c>
      <c r="D20" s="172"/>
      <c r="E20" s="173" t="s">
        <v>53</v>
      </c>
      <c r="F20" s="174">
        <f>($B20*$B$7+$C20*$C$7)/100</f>
        <v>0.0024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0.0024</v>
      </c>
      <c r="C21" s="184">
        <f>C20*C7/100</f>
        <v>0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0.0024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0.0003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0.0003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0.0003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0.0003</v>
      </c>
      <c r="C24" s="212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30" t="e">
        <f>IF(D24="",,VLOOKUP(D24,D$22:D23,1,0))</f>
        <v>#N/A</v>
      </c>
      <c r="F24" s="231">
        <f t="shared" si="0"/>
        <v>0.0003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32"/>
      <c r="M24" s="232"/>
      <c r="N24" s="232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21">
        <f t="shared" si="1"/>
        <v>0.0003</v>
      </c>
      <c r="R24" s="222">
        <f t="shared" si="2"/>
        <v>1</v>
      </c>
      <c r="S24" s="222">
        <f t="shared" si="3"/>
        <v>4</v>
      </c>
      <c r="T24" s="222">
        <f t="shared" si="4"/>
        <v>4</v>
      </c>
      <c r="U24" s="233">
        <f t="shared" si="5"/>
        <v>1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6"/>
      <c r="AB24" s="227"/>
      <c r="AC24" s="227"/>
      <c r="BB24" s="8">
        <f t="shared" si="7"/>
        <v>1</v>
      </c>
    </row>
    <row r="25" spans="1:54" ht="12.75">
      <c r="A25" s="228" t="s">
        <v>16</v>
      </c>
      <c r="B25" s="229">
        <v>0.0003</v>
      </c>
      <c r="C25" s="212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Cinclidotus riparius</v>
      </c>
      <c r="E25" s="230" t="e">
        <f>IF(D25="",,VLOOKUP(D25,D$22:D24,1,0))</f>
        <v>#N/A</v>
      </c>
      <c r="F25" s="231">
        <f t="shared" si="0"/>
        <v>0.0003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Cinclidotus riparius</v>
      </c>
      <c r="L25" s="232"/>
      <c r="M25" s="232"/>
      <c r="N25" s="232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1321</v>
      </c>
      <c r="Q25" s="221">
        <f t="shared" si="1"/>
        <v>0.0003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3">
        <f t="shared" si="5"/>
        <v>2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CINRIP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174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0.0003</v>
      </c>
      <c r="C26" s="212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Fissidens crassipes</v>
      </c>
      <c r="E26" s="230" t="e">
        <f>IF(D26="",,VLOOKUP(D26,D$22:D25,1,0))</f>
        <v>#N/A</v>
      </c>
      <c r="F26" s="231">
        <f t="shared" si="0"/>
        <v>0.0003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Fissidens crassipes</v>
      </c>
      <c r="L26" s="232"/>
      <c r="M26" s="232"/>
      <c r="N26" s="232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1294</v>
      </c>
      <c r="Q26" s="221">
        <f t="shared" si="1"/>
        <v>0.0003</v>
      </c>
      <c r="R26" s="222">
        <f t="shared" si="2"/>
        <v>1</v>
      </c>
      <c r="S26" s="222">
        <f t="shared" si="3"/>
        <v>12</v>
      </c>
      <c r="T26" s="222">
        <f t="shared" si="4"/>
        <v>24</v>
      </c>
      <c r="U26" s="233">
        <f t="shared" si="5"/>
        <v>2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FISCRA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197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0.0003</v>
      </c>
      <c r="C27" s="212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Fontinalis antipyretica</v>
      </c>
      <c r="E27" s="230" t="e">
        <f>IF(D27="",,VLOOKUP(D27,D$22:D26,1,0))</f>
        <v>#N/A</v>
      </c>
      <c r="F27" s="231">
        <f t="shared" si="0"/>
        <v>0.0003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Fontinalis antipyretica</v>
      </c>
      <c r="L27" s="232"/>
      <c r="M27" s="232"/>
      <c r="N27" s="232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1310</v>
      </c>
      <c r="Q27" s="221">
        <f t="shared" si="1"/>
        <v>0.0003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3">
        <f t="shared" si="5"/>
        <v>1</v>
      </c>
      <c r="V27" s="223">
        <f t="shared" si="6"/>
      </c>
      <c r="W27" s="234" t="s">
        <v>54</v>
      </c>
      <c r="Y27" s="225" t="str">
        <f>IF(A27="new.cod","NEWCOD",IF(AND((Z27=""),ISTEXT(A27)),A27,IF(Z27="","",INDEX('[1]liste reference'!$A$8:$A$904,Z27))))</f>
        <v>FONANT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210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0.0003</v>
      </c>
      <c r="C28" s="212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Rhynchostegium riparioides</v>
      </c>
      <c r="E28" s="230" t="e">
        <f>IF(D28="",,VLOOKUP(D28,D$22:D27,1,0))</f>
        <v>#N/A</v>
      </c>
      <c r="F28" s="231">
        <f t="shared" si="0"/>
        <v>0.0003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Rhynchostegium riparioides</v>
      </c>
      <c r="L28" s="232"/>
      <c r="M28" s="232"/>
      <c r="N28" s="232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1268</v>
      </c>
      <c r="Q28" s="221">
        <f t="shared" si="1"/>
        <v>0.0003</v>
      </c>
      <c r="R28" s="222">
        <f t="shared" si="2"/>
        <v>1</v>
      </c>
      <c r="S28" s="222">
        <f t="shared" si="3"/>
        <v>12</v>
      </c>
      <c r="T28" s="222">
        <f t="shared" si="4"/>
        <v>12</v>
      </c>
      <c r="U28" s="233">
        <f t="shared" si="5"/>
        <v>1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RHYRIP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252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0.0003</v>
      </c>
      <c r="C29" s="212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Equisetum sp.</v>
      </c>
      <c r="E29" s="230" t="e">
        <f>IF(D29="",,VLOOKUP(D29,D$22:D28,1,0))</f>
        <v>#N/A</v>
      </c>
      <c r="F29" s="231">
        <f t="shared" si="0"/>
        <v>0.0003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PTE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6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Equisetum sp.</v>
      </c>
      <c r="L29" s="232"/>
      <c r="M29" s="232"/>
      <c r="N29" s="232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1383</v>
      </c>
      <c r="Q29" s="221">
        <f t="shared" si="1"/>
        <v>0.0003</v>
      </c>
      <c r="R29" s="222">
        <f t="shared" si="2"/>
        <v>1</v>
      </c>
      <c r="S29" s="222">
        <f t="shared" si="3"/>
        <v>0</v>
      </c>
      <c r="T29" s="222">
        <f t="shared" si="4"/>
        <v>0</v>
      </c>
      <c r="U29" s="233">
        <f t="shared" si="5"/>
        <v>0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EQUSPX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283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0.0003</v>
      </c>
      <c r="C30" s="212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Lythrum salicaria</v>
      </c>
      <c r="E30" s="230" t="e">
        <f>IF(D30="",,VLOOKUP(D30,D$22:D29,1,0))</f>
        <v>#N/A</v>
      </c>
      <c r="F30" s="231">
        <f t="shared" si="0"/>
        <v>0.0003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Lythrum salicaria</v>
      </c>
      <c r="L30" s="232"/>
      <c r="M30" s="232"/>
      <c r="N30" s="232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1823</v>
      </c>
      <c r="Q30" s="221">
        <f t="shared" si="1"/>
        <v>0.0003</v>
      </c>
      <c r="R30" s="222">
        <f t="shared" si="2"/>
        <v>1</v>
      </c>
      <c r="S30" s="222">
        <f t="shared" si="3"/>
        <v>0</v>
      </c>
      <c r="T30" s="222">
        <f t="shared" si="4"/>
        <v>0</v>
      </c>
      <c r="U30" s="233">
        <f t="shared" si="5"/>
        <v>0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LYTSAL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605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54</v>
      </c>
      <c r="B31" s="229"/>
      <c r="C31" s="235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0">
        <f>IF(D31="",,VLOOKUP(D31,D$22:D30,1,0))</f>
        <v>0</v>
      </c>
      <c r="F31" s="231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2"/>
      <c r="M31" s="232"/>
      <c r="N31" s="232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3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5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0">
        <f>IF(D32="",,VLOOKUP(D32,D$22:D31,1,0))</f>
        <v>0</v>
      </c>
      <c r="F32" s="231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2"/>
      <c r="M32" s="232"/>
      <c r="N32" s="232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3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5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0">
        <f>IF(D33="",,VLOOKUP(D33,D$22:D32,1,0))</f>
        <v>0</v>
      </c>
      <c r="F33" s="231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2"/>
      <c r="M33" s="232"/>
      <c r="N33" s="232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3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5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0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2"/>
      <c r="M34" s="232"/>
      <c r="N34" s="232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3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5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0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2"/>
      <c r="M35" s="232"/>
      <c r="N35" s="232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3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5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0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2"/>
      <c r="M36" s="232"/>
      <c r="N36" s="232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3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5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0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2"/>
      <c r="M37" s="232"/>
      <c r="N37" s="232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3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5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0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2"/>
      <c r="M38" s="232"/>
      <c r="N38" s="232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3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5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0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2"/>
      <c r="M39" s="232"/>
      <c r="N39" s="232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3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5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0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2"/>
      <c r="M40" s="232"/>
      <c r="N40" s="232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3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5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0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2"/>
      <c r="M41" s="232"/>
      <c r="N41" s="232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3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5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3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5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3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5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3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5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3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5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3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5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3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5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3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5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3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5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3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5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3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5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3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5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3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5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3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5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3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5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3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5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3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5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3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5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3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5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3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5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3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5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3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5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3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5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3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5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3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5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3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5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3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5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3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5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3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5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3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5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3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5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3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5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3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5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3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5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3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5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3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5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3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5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3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5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3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5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3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5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3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3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Isère</v>
      </c>
      <c r="B84" s="265" t="str">
        <f>C3</f>
        <v>Isère à Meylan</v>
      </c>
      <c r="C84" s="266">
        <f>A4</f>
        <v>41907</v>
      </c>
      <c r="D84" s="267">
        <f>IF(ISERROR(SUM($T$23:$T$82)/SUM($U$23:$U$82)),"",SUM($T$23:$T$82)/SUM($U$23:$U$82))</f>
        <v>10.25</v>
      </c>
      <c r="E84" s="268">
        <f>N13</f>
        <v>8</v>
      </c>
      <c r="F84" s="265">
        <f>N14</f>
        <v>6</v>
      </c>
      <c r="G84" s="265">
        <f>N15</f>
        <v>4</v>
      </c>
      <c r="H84" s="265">
        <f>N16</f>
        <v>2</v>
      </c>
      <c r="I84" s="265">
        <f>N17</f>
        <v>0</v>
      </c>
      <c r="J84" s="269">
        <f>N8</f>
        <v>9.5</v>
      </c>
      <c r="K84" s="267">
        <f>N9</f>
        <v>3.3541019662496847</v>
      </c>
      <c r="L84" s="268">
        <f>N10</f>
        <v>4</v>
      </c>
      <c r="M84" s="268">
        <f>N11</f>
        <v>13</v>
      </c>
      <c r="N84" s="267">
        <f>O8</f>
        <v>1.3333333333333333</v>
      </c>
      <c r="O84" s="267">
        <f>O9</f>
        <v>0.4714045207910317</v>
      </c>
      <c r="P84" s="268">
        <f>O10</f>
        <v>1</v>
      </c>
      <c r="Q84" s="268">
        <f>O11</f>
        <v>2</v>
      </c>
      <c r="R84" s="268">
        <f>F21</f>
        <v>0.0024</v>
      </c>
      <c r="S84" s="268">
        <f>K11</f>
        <v>0</v>
      </c>
      <c r="T84" s="268">
        <f>K12</f>
        <v>2</v>
      </c>
      <c r="U84" s="268">
        <f>K13</f>
        <v>4</v>
      </c>
      <c r="V84" s="270">
        <f>K14</f>
        <v>1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13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26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2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9.333333333333334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CINRIP</v>
      </c>
      <c r="T91" s="8">
        <f>IF(ISERROR(MATCH($S$93,'[1]liste reference'!$A$8:$A$904,0)),MATCH($S$93,'[1]liste reference'!$B$8:$B$904,0),(MATCH($S$93,'[1]liste reference'!$A$8:$A$904,0)))</f>
        <v>174</v>
      </c>
      <c r="U91" s="263"/>
    </row>
    <row r="92" spans="17:20" ht="12.75">
      <c r="Q92" s="8" t="s">
        <v>92</v>
      </c>
      <c r="R92" s="8"/>
      <c r="S92" s="8">
        <f>MATCH(S87,$S$23:$S$82,0)</f>
        <v>3</v>
      </c>
      <c r="T92" s="8"/>
    </row>
    <row r="93" spans="17:20" ht="12.75">
      <c r="Q93" s="222" t="s">
        <v>93</v>
      </c>
      <c r="R93" s="8"/>
      <c r="S93" s="222" t="str">
        <f>INDEX($A$23:$A$82,$S$92)</f>
        <v>CINRIP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2015-04-14T14:19:06Z</dcterms:created>
  <dcterms:modified xsi:type="dcterms:W3CDTF">2015-04-14T14:19:25Z</dcterms:modified>
  <cp:category/>
  <cp:version/>
  <cp:contentType/>
  <cp:contentStatus/>
</cp:coreProperties>
</file>