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chauffayer"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'chauffayer'!$A$1:$O$25</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<sst xmlns="http://schemas.openxmlformats.org/spreadsheetml/2006/main" count="208" uniqueCount="83">
  <si>
    <t>Relevés floristiques aquatiques - IBMR</t>
  </si>
  <si>
    <t>GIS Macrophytes - juillet 2006</t>
  </si>
  <si>
    <t>CARICAIE</t>
  </si>
  <si>
    <t>conforme AFNOR T90-395 oct. 2003</t>
  </si>
  <si>
    <t>DRAC</t>
  </si>
  <si>
    <t>CHAUFFAYER</t>
  </si>
  <si>
    <t>06142500</t>
  </si>
  <si>
    <t>Résultats</t>
  </si>
  <si>
    <t>Robustesse:</t>
  </si>
  <si>
    <t>F. courant</t>
  </si>
  <si>
    <t>F. lent</t>
  </si>
  <si>
    <t>station</t>
  </si>
  <si>
    <t>IBMR:</t>
  </si>
  <si>
    <t>OSC.SPX</t>
  </si>
  <si>
    <t>Type de faciès</t>
  </si>
  <si>
    <t>radier</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</si>
  <si>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</si>
  <si>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</si>
  <si>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</si>
  <si>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</si>
  <si>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</si>
  <si>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</si>
  <si>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</si>
  <si>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</si>
  <si>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</si>
  <si>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</si>
  <si>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</si>
  <si>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</si>
  <si>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</si>
  <si>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</si>
  <si>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</si>
  <si>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</si>
  <si>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</si>
  <si>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</si>
  <si>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</si>
  <si>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</si>
  <si>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</si>
  <si>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</si>
  <si>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</si>
  <si>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</si>
  <si>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</si>
  <si>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</si>
  <si>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</si>
  <si>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</si>
  <si>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</si>
  <si>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</si>
  <si>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</si>
  <si>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</si>
  <si>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</si>
  <si>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</si>
  <si>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</si>
  <si>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</si>
  <si>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</si>
  <si>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</si>
  <si>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</si>
  <si>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</si>
  <si>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</si>
  <si>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</si>
  <si>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</si>
  <si>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</si>
  <si>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</si>
  <si>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</si>
  <si>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</si>
  <si>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</si>
  <si>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</si>
  <si>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</si>
  <si>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</si>
  <si>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</si>
  <si>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</si>
  <si>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</si>
  <si>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</si>
  <si>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</si>
  <si>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RHI.SPX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</si>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</sst>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3" borderId="23" xfId="0" applyNumberFormat="1" applyFont="1" applyFill="1" applyBorder="1" applyAlignment="1" applyProtection="1">
      <alignment horizontal="right" vertical="top"/>
      <protection hidden="1"/>
    </xf>
    <xf numFmtId="2" fontId="13" fillId="3"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3" borderId="29" xfId="0" applyFont="1" applyFill="1" applyBorder="1" applyAlignment="1" applyProtection="1">
      <alignment horizontal="left"/>
      <protection hidden="1"/>
    </xf>
    <xf numFmtId="0" fontId="7" fillId="3"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ALLEMOISSON"/>
      <sheetName val="BARLES"/>
      <sheetName val="ribiers"/>
      <sheetName val="méouge"/>
      <sheetName val="serres"/>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33">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6"/>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60" sqref="W60"/>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40387</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6.285714285714286</v>
      </c>
      <c r="M5" s="51"/>
      <c r="N5" s="52" t="s">
        <v>13</v>
      </c>
      <c r="O5" s="53">
        <v>4.4</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7</v>
      </c>
      <c r="O8" s="84">
        <f>AVERAGE(J23:J82)</f>
        <v>1.3333333333333333</v>
      </c>
      <c r="P8" s="7"/>
      <c r="Q8" s="7"/>
      <c r="R8" s="7"/>
      <c r="S8" s="7"/>
      <c r="T8" s="7"/>
      <c r="U8" s="7"/>
      <c r="V8" s="20"/>
      <c r="W8" s="21"/>
    </row>
    <row r="9" spans="1:23" ht="13.5" thickBot="1">
      <c r="A9" s="85" t="s">
        <v>25</v>
      </c>
      <c r="B9" s="86">
        <v>1</v>
      </c>
      <c r="C9" s="87"/>
      <c r="D9" s="88"/>
      <c r="E9" s="88"/>
      <c r="F9" s="89">
        <f aca="true" t="shared" si="0" ref="F9:F15">($B9*$B$7+$C9*$C$7)/100</f>
        <v>1</v>
      </c>
      <c r="G9" s="90"/>
      <c r="H9" s="91"/>
      <c r="I9" s="92"/>
      <c r="J9" s="93"/>
      <c r="K9" s="72"/>
      <c r="L9" s="94"/>
      <c r="M9" s="82" t="s">
        <v>26</v>
      </c>
      <c r="N9" s="83">
        <f>STDEV(I23:I82)</f>
        <v>3.605551275463989</v>
      </c>
      <c r="O9" s="84">
        <f>STDEV(J23:J82)</f>
        <v>0.5773502691896258</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4</v>
      </c>
      <c r="O10" s="107">
        <f>MIN(J23:J82)</f>
        <v>1</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11</v>
      </c>
      <c r="O11" s="107">
        <f>MAX(J23:J82)</f>
        <v>2</v>
      </c>
      <c r="P11" s="7"/>
      <c r="Q11" s="7"/>
      <c r="R11" s="7"/>
      <c r="S11" s="7"/>
      <c r="T11" s="7"/>
      <c r="U11" s="7"/>
    </row>
    <row r="12" spans="1:21" ht="12.75">
      <c r="A12" s="118" t="s">
        <v>33</v>
      </c>
      <c r="B12" s="119">
        <v>1</v>
      </c>
      <c r="C12" s="120"/>
      <c r="D12" s="111"/>
      <c r="E12" s="111"/>
      <c r="F12" s="112">
        <f t="shared" si="0"/>
        <v>1</v>
      </c>
      <c r="G12" s="121"/>
      <c r="H12" s="67"/>
      <c r="I12" s="122" t="s">
        <v>34</v>
      </c>
      <c r="J12" s="123"/>
      <c r="K12" s="116">
        <f>COUNTIF($G$23:$G$82,"=ALG")</f>
        <v>3</v>
      </c>
      <c r="L12" s="124"/>
      <c r="M12" s="125"/>
      <c r="N12" s="126" t="s">
        <v>28</v>
      </c>
      <c r="O12" s="127"/>
      <c r="P12" s="7"/>
      <c r="Q12" s="7"/>
      <c r="R12" s="7"/>
      <c r="S12" s="7"/>
      <c r="T12" s="7"/>
      <c r="U12" s="7"/>
    </row>
    <row r="13" spans="1:21" ht="12.75">
      <c r="A13" s="118" t="s">
        <v>35</v>
      </c>
      <c r="B13" s="119">
        <v>0</v>
      </c>
      <c r="C13" s="120"/>
      <c r="D13" s="111"/>
      <c r="E13" s="111"/>
      <c r="F13" s="112">
        <f t="shared" si="0"/>
        <v>0</v>
      </c>
      <c r="G13" s="121"/>
      <c r="H13" s="67"/>
      <c r="I13" s="128" t="s">
        <v>36</v>
      </c>
      <c r="J13" s="123"/>
      <c r="K13" s="116">
        <f>COUNTIF($G$23:$G$82,"=BRm")+COUNTIF($G$23:$G$82,"=BRh")</f>
        <v>0</v>
      </c>
      <c r="L13" s="117"/>
      <c r="M13" s="129" t="s">
        <v>37</v>
      </c>
      <c r="N13" s="130">
        <f>COUNTIF(F23:F82,"&gt;0")</f>
        <v>3</v>
      </c>
      <c r="O13" s="131"/>
      <c r="P13" s="7"/>
      <c r="Q13" s="7"/>
      <c r="R13" s="7"/>
      <c r="S13" s="7"/>
      <c r="T13" s="7"/>
      <c r="U13" s="7"/>
    </row>
    <row r="14" spans="1:21" ht="12.75">
      <c r="A14" s="118" t="s">
        <v>38</v>
      </c>
      <c r="B14" s="119">
        <v>0</v>
      </c>
      <c r="C14" s="120"/>
      <c r="D14" s="111"/>
      <c r="E14" s="111"/>
      <c r="F14" s="112">
        <f t="shared" si="0"/>
        <v>0</v>
      </c>
      <c r="G14" s="121"/>
      <c r="H14" s="67"/>
      <c r="I14" s="128" t="s">
        <v>39</v>
      </c>
      <c r="J14" s="123"/>
      <c r="K14" s="116">
        <f>COUNTIF($G$23:$G$82,"=PTE")</f>
        <v>0</v>
      </c>
      <c r="L14" s="117"/>
      <c r="M14" s="132" t="s">
        <v>40</v>
      </c>
      <c r="N14" s="133">
        <f>COUNTIF($I$23:$I$82,"&gt;-1")</f>
        <v>3</v>
      </c>
      <c r="O14" s="134"/>
      <c r="P14" s="7"/>
      <c r="Q14" s="7"/>
      <c r="R14" s="7"/>
      <c r="S14" s="7"/>
      <c r="T14" s="7"/>
      <c r="U14" s="7"/>
    </row>
    <row r="15" spans="1:21" ht="12.75">
      <c r="A15" s="135" t="s">
        <v>41</v>
      </c>
      <c r="B15" s="136">
        <v>0</v>
      </c>
      <c r="C15" s="137"/>
      <c r="D15" s="111"/>
      <c r="E15" s="111"/>
      <c r="F15" s="112">
        <f t="shared" si="0"/>
        <v>0</v>
      </c>
      <c r="G15" s="121"/>
      <c r="H15" s="67"/>
      <c r="I15" s="128" t="s">
        <v>42</v>
      </c>
      <c r="J15" s="123"/>
      <c r="K15" s="116">
        <f>(COUNTIF($G$23:$G$82,"=PHy"))+(COUNTIF($G$23:$G$82,"=PHe"))+(COUNTIF($G$23:$G$82,"=PHg"))+(COUNTIF($G$23:$G$82,"=PHx"))</f>
        <v>0</v>
      </c>
      <c r="L15" s="117"/>
      <c r="M15" s="138" t="s">
        <v>43</v>
      </c>
      <c r="N15" s="139">
        <f>COUNTIF(J23:J82,"=1")</f>
        <v>2</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1</v>
      </c>
      <c r="O16" s="140"/>
      <c r="P16" s="7"/>
      <c r="Q16" s="7"/>
      <c r="R16" s="7"/>
      <c r="S16" s="7"/>
      <c r="T16" s="7"/>
      <c r="U16" s="7"/>
    </row>
    <row r="17" spans="1:21" ht="12.75">
      <c r="A17" s="118" t="s">
        <v>46</v>
      </c>
      <c r="B17" s="119">
        <v>1</v>
      </c>
      <c r="C17" s="120"/>
      <c r="D17" s="111"/>
      <c r="E17" s="111"/>
      <c r="F17" s="145"/>
      <c r="G17" s="112">
        <f>($B17*$B$7+$C17*$C$7)/100</f>
        <v>1</v>
      </c>
      <c r="H17" s="67"/>
      <c r="I17" s="128"/>
      <c r="J17" s="123"/>
      <c r="K17" s="144"/>
      <c r="L17" s="117"/>
      <c r="M17" s="138" t="s">
        <v>47</v>
      </c>
      <c r="N17" s="139">
        <f>COUNTIF(J23:J82,"=3")</f>
        <v>0</v>
      </c>
      <c r="O17" s="140"/>
      <c r="P17" s="7"/>
      <c r="Q17" s="7"/>
      <c r="R17" s="7"/>
      <c r="S17" s="7"/>
      <c r="T17" s="7"/>
      <c r="U17" s="7"/>
    </row>
    <row r="18" spans="1:22" ht="12.75">
      <c r="A18" s="147" t="s">
        <v>48</v>
      </c>
      <c r="B18" s="148">
        <v>0</v>
      </c>
      <c r="C18" s="149"/>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1</v>
      </c>
      <c r="G19" s="158">
        <f>SUM(G16:G18)</f>
        <v>1</v>
      </c>
      <c r="H19" s="159"/>
      <c r="I19" s="160"/>
      <c r="J19" s="161"/>
      <c r="K19" s="162"/>
      <c r="L19" s="163"/>
      <c r="M19" s="164"/>
      <c r="N19" s="59"/>
      <c r="O19" s="165"/>
      <c r="P19" s="7"/>
      <c r="Q19" s="7"/>
      <c r="R19" s="7"/>
      <c r="S19" s="7"/>
      <c r="T19" s="7"/>
      <c r="U19" s="7"/>
      <c r="V19" s="152" t="s">
        <v>50</v>
      </c>
    </row>
    <row r="20" spans="1:22" ht="12.75">
      <c r="A20" s="85" t="s">
        <v>82</v>
      </c>
      <c r="B20" s="166">
        <f>SUM(B23:B82)</f>
        <v>1.05</v>
      </c>
      <c r="C20" s="167">
        <f>SUM(C23:C82)</f>
        <v>0</v>
      </c>
      <c r="D20" s="168"/>
      <c r="E20" s="169" t="s">
        <v>49</v>
      </c>
      <c r="F20" s="170">
        <f>($B20*$B$7+$C20*$C$7)/100</f>
        <v>1.05</v>
      </c>
      <c r="G20" s="171"/>
      <c r="H20" s="172"/>
      <c r="I20" s="173"/>
      <c r="J20" s="173"/>
      <c r="K20" s="174"/>
      <c r="L20" s="45"/>
      <c r="M20" s="175"/>
      <c r="N20" s="175"/>
      <c r="O20" s="176"/>
      <c r="P20" s="177" t="s">
        <v>51</v>
      </c>
      <c r="Q20" s="7"/>
      <c r="R20" s="7"/>
      <c r="S20" s="7"/>
      <c r="T20" s="7"/>
      <c r="U20" s="7"/>
      <c r="V20" s="152" t="s">
        <v>50</v>
      </c>
    </row>
    <row r="21" spans="1:22" ht="12.75">
      <c r="A21" s="178" t="s">
        <v>52</v>
      </c>
      <c r="B21" s="179">
        <f>B20*B7/100</f>
        <v>1.05</v>
      </c>
      <c r="C21" s="179">
        <f>C20*C7/100</f>
        <v>0</v>
      </c>
      <c r="D21" s="111">
        <f>IF(F21=0,"",IF((ABS(F21-F19))&gt;(0.2*F21),CONCATENATE(" rec. par taxa (",F21," %) supérieur à 20 % !"),""))</f>
      </c>
      <c r="E21" s="180">
        <f>IF(F21=0,"",IF((ABS(F21-F19))&gt;(0.2*F21),CONCATENATE("ATTENTION : écart entre rec. par grp (",F19," %) ","et",""),""))</f>
      </c>
      <c r="F21" s="181">
        <f>B21+C21</f>
        <v>1.05</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71</v>
      </c>
      <c r="B23" s="203">
        <v>0.05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0.05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0.05</v>
      </c>
      <c r="Q23" s="215">
        <f aca="true" t="shared" si="3" ref="Q23:Q54">IF(OR(ISTEXT(H23),P23=0),"",IF(P23&lt;0.1,1,IF(P23&lt;1,2,IF(P23&lt;10,3,IF(P23&lt;50,4,IF(P23&gt;=50,5,""))))))</f>
        <v>1</v>
      </c>
      <c r="R23" s="215">
        <f aca="true" t="shared" si="4" ref="R23:R54">IF(ISERROR(Q23*I23),0,Q23*I23)</f>
        <v>6</v>
      </c>
      <c r="S23" s="215">
        <f aca="true" t="shared" si="5" ref="S23:S54">IF(ISERROR(Q23*I23*J23),0,Q23*I23*J23)</f>
        <v>6</v>
      </c>
      <c r="T23" s="215">
        <f aca="true" t="shared" si="6" ref="T23:T54">IF(ISERROR(Q23*J23),0,Q23*J23)</f>
        <v>1</v>
      </c>
      <c r="U23" s="216">
        <f aca="true" t="shared" si="7" ref="U23:U54">IF(AND(A23="",F23=0),"",IF(F23=0,"Il manque le(s) % de rec. !",""))</f>
      </c>
      <c r="V23" s="217" t="s">
        <v>50</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13</v>
      </c>
      <c r="B24" s="222">
        <v>0.5</v>
      </c>
      <c r="C24" s="223"/>
      <c r="D24" s="224" t="str">
        <f>IF(ISERROR(VLOOKUP($A24,'[1]liste reference'!$A$7:$D$906,2,0)),IF(ISERROR(VLOOKUP($A24,'[1]liste reference'!$B$7:$D$906,1,0)),"",VLOOKUP($A24,'[1]liste reference'!$B$7:$D$906,1,0)),VLOOKUP($A24,'[1]liste reference'!$A$7:$D$906,2,0))</f>
        <v>Oscillatoria sp.       </v>
      </c>
      <c r="E24" s="224" t="e">
        <f>IF(D24="",,VLOOKUP(D24,D$22:D23,1,0))</f>
        <v>#N/A</v>
      </c>
      <c r="F24" s="225">
        <f t="shared" si="1"/>
        <v>0.5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11</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Oscillatoria sp.       </v>
      </c>
      <c r="L24" s="229"/>
      <c r="M24" s="229"/>
      <c r="N24" s="229"/>
      <c r="O24" s="213"/>
      <c r="P24" s="214">
        <f t="shared" si="2"/>
        <v>0.5</v>
      </c>
      <c r="Q24" s="215">
        <f t="shared" si="3"/>
        <v>2</v>
      </c>
      <c r="R24" s="215">
        <f t="shared" si="4"/>
        <v>22</v>
      </c>
      <c r="S24" s="215">
        <f t="shared" si="5"/>
        <v>22</v>
      </c>
      <c r="T24" s="230">
        <f t="shared" si="6"/>
        <v>2</v>
      </c>
      <c r="U24" s="216">
        <f t="shared" si="7"/>
      </c>
      <c r="V24" s="217" t="s">
        <v>50</v>
      </c>
      <c r="X24" s="218" t="str">
        <f>IF(A24="new.cod","NEW.COD",IF(AND((Y24=""),ISTEXT(A24)),A24,IF(Y24="","",INDEX('[1]liste reference'!$A$7:$A$906,Y24))))</f>
        <v>OSC.SPX</v>
      </c>
      <c r="Y24" s="7">
        <f>IF(ISERROR(MATCH(A24,'[1]liste reference'!$A$7:$A$906,0)),IF(ISERROR(MATCH(A24,'[1]liste reference'!$B$7:$B$906,0)),"",(MATCH(A24,'[1]liste reference'!$B$7:$B$906,0))),(MATCH(A24,'[1]liste reference'!$A$7:$A$906,0)))</f>
        <v>57</v>
      </c>
      <c r="Z24" s="219"/>
      <c r="AA24" s="220"/>
      <c r="BB24" s="7">
        <f t="shared" si="8"/>
        <v>1</v>
      </c>
    </row>
    <row r="25" spans="1:54" ht="12.75">
      <c r="A25" s="221" t="s">
        <v>72</v>
      </c>
      <c r="B25" s="222">
        <v>0.5</v>
      </c>
      <c r="C25" s="223"/>
      <c r="D25" s="224" t="str">
        <f>IF(ISERROR(VLOOKUP($A25,'[1]liste reference'!$A$7:$D$906,2,0)),IF(ISERROR(VLOOKUP($A25,'[1]liste reference'!$B$7:$D$906,1,0)),"",VLOOKUP($A25,'[1]liste reference'!$B$7:$D$906,1,0)),VLOOKUP($A25,'[1]liste reference'!$A$7:$D$906,2,0))</f>
        <v>Rhizoclonium sp.       </v>
      </c>
      <c r="E25" s="224" t="e">
        <f>IF(D25="",,VLOOKUP(D25,D$22:D24,1,0))</f>
        <v>#N/A</v>
      </c>
      <c r="F25" s="225">
        <f t="shared" si="1"/>
        <v>0.5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Rhizoclonium sp.       </v>
      </c>
      <c r="L25" s="229"/>
      <c r="M25" s="229"/>
      <c r="N25" s="229"/>
      <c r="O25" s="213"/>
      <c r="P25" s="214">
        <f t="shared" si="2"/>
        <v>0.5</v>
      </c>
      <c r="Q25" s="215">
        <f t="shared" si="3"/>
        <v>2</v>
      </c>
      <c r="R25" s="215">
        <f t="shared" si="4"/>
        <v>8</v>
      </c>
      <c r="S25" s="215">
        <f t="shared" si="5"/>
        <v>16</v>
      </c>
      <c r="T25" s="230">
        <f t="shared" si="6"/>
        <v>4</v>
      </c>
      <c r="U25" s="216">
        <f t="shared" si="7"/>
      </c>
      <c r="V25" s="217" t="s">
        <v>50</v>
      </c>
      <c r="X25" s="218" t="str">
        <f>IF(A25="new.cod","NEW.COD",IF(AND((Y25=""),ISTEXT(A25)),A25,IF(Y25="","",INDEX('[1]liste reference'!$A$7:$A$906,Y25))))</f>
        <v>RHI.SPX</v>
      </c>
      <c r="Y25" s="7">
        <f>IF(ISERROR(MATCH(A25,'[1]liste reference'!$A$7:$A$906,0)),IF(ISERROR(MATCH(A25,'[1]liste reference'!$B$7:$B$906,0)),"",(MATCH(A25,'[1]liste reference'!$B$7:$B$906,0))),(MATCH(A25,'[1]liste reference'!$A$7:$A$906,0)))</f>
        <v>63</v>
      </c>
      <c r="Z25" s="219"/>
      <c r="AA25" s="220"/>
      <c r="BB25" s="7">
        <f t="shared" si="8"/>
        <v>1</v>
      </c>
    </row>
    <row r="26" spans="1:54" ht="12.75">
      <c r="A26" s="221" t="s">
        <v>50</v>
      </c>
      <c r="B26" s="222"/>
      <c r="C26" s="223"/>
      <c r="D26" s="224">
        <f>IF(ISERROR(VLOOKUP($A26,'[1]liste reference'!$A$7:$D$906,2,0)),IF(ISERROR(VLOOKUP($A26,'[1]liste reference'!$B$7:$D$906,1,0)),"",VLOOKUP($A26,'[1]liste reference'!$B$7:$D$906,1,0)),VLOOKUP($A26,'[1]liste reference'!$A$7:$D$906,2,0))</f>
      </c>
      <c r="E26" s="224">
        <f>IF(D26="",,VLOOKUP(D26,D$22:D25,1,0))</f>
        <v>0</v>
      </c>
      <c r="F26" s="225">
        <f t="shared" si="1"/>
        <v>0</v>
      </c>
      <c r="G26" s="226">
        <f>IF(A26="","",IF(ISERROR(VLOOKUP($A26,'[1]liste reference'!$A$7:$P$906,13,0)),IF(ISERROR(VLOOKUP($A26,'[1]liste reference'!$B$7:$P$906,12,0)),"    -",VLOOKUP($A26,'[1]liste reference'!$B$7:$P$906,12,0)),VLOOKUP($A26,'[1]liste reference'!$A$7:$P$906,13,0)))</f>
      </c>
      <c r="H26" s="208" t="str">
        <f>IF(A26="","x",IF(ISERROR(VLOOKUP($A26,'[1]liste reference'!$A$7:$P$906,14,0)),IF(ISERROR(VLOOKUP($A26,'[1]liste reference'!$B$7:$P$906,13,0)),"x",VLOOKUP($A26,'[1]liste reference'!$B$7:$P$906,13,0)),VLOOKUP($A26,'[1]liste reference'!$A$7:$P$906,14,0)))</f>
        <v>x</v>
      </c>
      <c r="I26" s="227">
        <f>IF(ISNUMBER(H26),IF(ISERROR(VLOOKUP($A26,'[1]liste reference'!$A$7:$P$906,3,0)),IF(ISERROR(VLOOKUP($A26,'[1]liste reference'!$B$7:$P$906,2,0)),"",VLOOKUP($A26,'[1]liste reference'!$B$7:$P$906,2,0)),VLOOKUP($A26,'[1]liste reference'!$A$7:$P$906,3,0)),"")</f>
      </c>
      <c r="J26" s="210">
        <f>IF(ISNUMBER(H26),IF(ISERROR(VLOOKUP($A26,'[1]liste reference'!$A$7:$P$906,4,0)),IF(ISERROR(VLOOKUP($A26,'[1]liste reference'!$B$7:$P$906,3,0)),"",VLOOKUP($A26,'[1]liste reference'!$B$7:$P$906,3,0)),VLOOKUP($A26,'[1]liste reference'!$A$7:$P$906,4,0)),"")</f>
      </c>
      <c r="K26" s="228">
        <f>IF(A26="NEW.COD",AA26,IF(ISTEXT($E26),"DEJA SAISI !",IF(A26="","",IF(ISERROR(VLOOKUP($A26,'[1]liste reference'!$A$7:$D$906,2,0)),IF(ISERROR(VLOOKUP($A26,'[1]liste reference'!$B$7:$D$906,1,0)),"code non répertorié ou synonyme",VLOOKUP($A26,'[1]liste reference'!$B$7:$D$906,1,0)),VLOOKUP(A26,'[1]liste reference'!$A$7:$D$906,2,0)))))</f>
      </c>
      <c r="L26" s="229"/>
      <c r="M26" s="229"/>
      <c r="N26" s="229"/>
      <c r="O26" s="213"/>
      <c r="P26" s="214">
        <f t="shared" si="2"/>
      </c>
      <c r="Q26" s="215">
        <f t="shared" si="3"/>
      </c>
      <c r="R26" s="215">
        <f t="shared" si="4"/>
        <v>0</v>
      </c>
      <c r="S26" s="215">
        <f t="shared" si="5"/>
        <v>0</v>
      </c>
      <c r="T26" s="230">
        <f t="shared" si="6"/>
        <v>0</v>
      </c>
      <c r="U26" s="216">
        <f t="shared" si="7"/>
      </c>
      <c r="V26" s="217" t="s">
        <v>50</v>
      </c>
      <c r="X26" s="218">
        <f>IF(A26="new.cod","NEW.COD",IF(AND((Y26=""),ISTEXT(A26)),A26,IF(Y26="","",INDEX('[1]liste reference'!$A$7:$A$906,Y26))))</f>
      </c>
      <c r="Y26" s="7">
        <f>IF(ISERROR(MATCH(A26,'[1]liste reference'!$A$7:$A$906,0)),IF(ISERROR(MATCH(A26,'[1]liste reference'!$B$7:$B$906,0)),"",(MATCH(A26,'[1]liste reference'!$B$7:$B$906,0))),(MATCH(A26,'[1]liste reference'!$A$7:$A$906,0)))</f>
      </c>
      <c r="Z26" s="219"/>
      <c r="AA26" s="220"/>
      <c r="BB26" s="7">
        <f t="shared" si="8"/>
      </c>
    </row>
    <row r="27" spans="1:54" ht="12.75">
      <c r="A27" s="221" t="s">
        <v>50</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50</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50</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50</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50</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50</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50</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50</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50</v>
      </c>
      <c r="B31" s="222"/>
      <c r="C31" s="223"/>
      <c r="D31" s="224">
        <f>IF(ISERROR(VLOOKUP($A31,'[1]liste reference'!$A$7:$D$906,2,0)),IF(ISERROR(VLOOKUP($A31,'[1]liste reference'!$B$7:$D$906,1,0)),"",VLOOKUP($A31,'[1]liste reference'!$B$7:$D$906,1,0)),VLOOKUP($A31,'[1]liste reference'!$A$7:$D$906,2,0))</f>
      </c>
      <c r="E31" s="224">
        <f>IF(D31="",,VLOOKUP(D31,D$21:D30,1,0))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50</v>
      </c>
      <c r="W31" s="231"/>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50</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50</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50</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50</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50</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50</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73</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DRAC</v>
      </c>
      <c r="B84" s="255" t="str">
        <f>C3</f>
        <v>CHAUFFAYER</v>
      </c>
      <c r="C84" s="256">
        <f>A4</f>
        <v>40387</v>
      </c>
      <c r="D84" s="257">
        <f>IF(ISERROR(SUM($S$23:$S$82)/SUM($T$23:$T$82)),"",SUM($S$23:$S$82)/SUM($T$23:$T$82))</f>
        <v>6.285714285714286</v>
      </c>
      <c r="E84" s="258">
        <f>N13</f>
        <v>3</v>
      </c>
      <c r="F84" s="255">
        <f>N14</f>
        <v>3</v>
      </c>
      <c r="G84" s="255">
        <f>N15</f>
        <v>2</v>
      </c>
      <c r="H84" s="255">
        <f>N16</f>
        <v>1</v>
      </c>
      <c r="I84" s="255">
        <f>N17</f>
        <v>0</v>
      </c>
      <c r="J84" s="259">
        <f>N8</f>
        <v>7</v>
      </c>
      <c r="K84" s="257">
        <f>N9</f>
        <v>3.605551275463989</v>
      </c>
      <c r="L84" s="258">
        <f>N10</f>
        <v>4</v>
      </c>
      <c r="M84" s="258">
        <f>N11</f>
        <v>11</v>
      </c>
      <c r="N84" s="257">
        <f>O8</f>
        <v>1.3333333333333333</v>
      </c>
      <c r="O84" s="257">
        <f>O9</f>
        <v>0.5773502691896258</v>
      </c>
      <c r="P84" s="258">
        <f>O10</f>
        <v>1</v>
      </c>
      <c r="Q84" s="258">
        <f>O11</f>
        <v>2</v>
      </c>
      <c r="R84" s="260">
        <f>F21</f>
        <v>1.05</v>
      </c>
      <c r="S84" s="258">
        <f>K11</f>
        <v>0</v>
      </c>
      <c r="T84" s="258">
        <f>K12</f>
        <v>3</v>
      </c>
      <c r="U84" s="258">
        <f>K13</f>
        <v>0</v>
      </c>
      <c r="V84" s="261">
        <f>K14</f>
        <v>0</v>
      </c>
      <c r="W84" s="262">
        <f>K15</f>
        <v>0</v>
      </c>
      <c r="Y84" s="263"/>
      <c r="Z84" s="263"/>
      <c r="AA84" s="253"/>
      <c r="AB84" s="253"/>
      <c r="AC84" s="253"/>
    </row>
    <row r="85" spans="16:21" ht="12.75" hidden="1">
      <c r="P85" s="7"/>
      <c r="Q85" s="7"/>
      <c r="R85" s="7"/>
      <c r="S85" s="7"/>
      <c r="T85" s="7"/>
      <c r="U85" s="7"/>
    </row>
    <row r="86" spans="16:21" ht="12.75" hidden="1">
      <c r="P86" s="264" t="s">
        <v>74</v>
      </c>
      <c r="Q86" s="7"/>
      <c r="R86" s="216"/>
      <c r="S86" s="7"/>
      <c r="T86" s="7"/>
      <c r="U86" s="7"/>
    </row>
    <row r="87" spans="16:21" ht="12.75" hidden="1">
      <c r="P87" s="7" t="s">
        <v>75</v>
      </c>
      <c r="Q87" s="7"/>
      <c r="R87" s="216">
        <f>VLOOKUP(MAX($R$23:$R$82),($R$23:$T$82),1,0)</f>
        <v>22</v>
      </c>
      <c r="S87" s="7"/>
      <c r="T87" s="7"/>
      <c r="U87" s="7"/>
    </row>
    <row r="88" spans="16:21" ht="12.75" hidden="1">
      <c r="P88" s="7" t="s">
        <v>76</v>
      </c>
      <c r="Q88" s="7"/>
      <c r="R88" s="216">
        <f>VLOOKUP((R87),($R$23:$T$82),2,0)</f>
        <v>22</v>
      </c>
      <c r="S88" s="7"/>
      <c r="T88" s="7"/>
      <c r="U88" s="7"/>
    </row>
    <row r="89" spans="16:19" ht="12.75" hidden="1">
      <c r="P89" s="7" t="s">
        <v>77</v>
      </c>
      <c r="Q89" s="7"/>
      <c r="R89" s="216">
        <f>VLOOKUP((R87),($R$23:$T$82),3,0)</f>
        <v>2</v>
      </c>
      <c r="S89" s="7"/>
    </row>
    <row r="90" spans="16:19" ht="12.75" hidden="1">
      <c r="P90" s="7" t="s">
        <v>78</v>
      </c>
      <c r="Q90" s="7"/>
      <c r="R90" s="265">
        <f>IF(ISERROR(SUM($S$23:$S$82)/SUM($T$23:$T$82)),"",(SUM($S$23:$S$82)-R88)/(SUM($T$23:$T$82)-R89))</f>
        <v>4.4</v>
      </c>
      <c r="S90" s="7"/>
    </row>
    <row r="91" spans="16:20" ht="12.75" hidden="1">
      <c r="P91" s="215" t="s">
        <v>79</v>
      </c>
      <c r="Q91" s="215"/>
      <c r="R91" s="215" t="str">
        <f>INDEX('[1]liste reference'!$A$7:$A$906,$S$91)</f>
        <v>OSC.SPX</v>
      </c>
      <c r="S91" s="7">
        <f>IF(ISERROR(MATCH($R$93,'[1]liste reference'!$A$7:$A$906,0)),MATCH($R$93,'[1]liste reference'!$B$7:$B$906,0),(MATCH($R$93,'[1]liste reference'!$A$7:$A$906,0)))</f>
        <v>57</v>
      </c>
      <c r="T91" s="253"/>
    </row>
    <row r="92" spans="16:19" ht="12.75" hidden="1">
      <c r="P92" s="7" t="s">
        <v>80</v>
      </c>
      <c r="Q92" s="7"/>
      <c r="R92" s="7">
        <f>MATCH(R87,$R$23:$R$82,0)</f>
        <v>2</v>
      </c>
      <c r="S92" s="7"/>
    </row>
    <row r="93" spans="16:19" ht="12.75" hidden="1">
      <c r="P93" s="215" t="s">
        <v>81</v>
      </c>
      <c r="Q93" s="7"/>
      <c r="R93" s="215" t="str">
        <f>INDEX($A$23:$A$82,$R$92)</f>
        <v>OSC.SPX</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2013-10-22T08:15:29Z</dcterms:created>
  <dcterms:modified xsi:type="dcterms:W3CDTF">2013-10-22T08:16:20Z</dcterms:modified>
  <cp:category/>
  <cp:version/>
  <cp:contentType/>
  <cp:contentStatus/>
</cp:coreProperties>
</file>