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<sst xmlns="http://schemas.openxmlformats.org/spreadsheetml/2006/main" count="219" uniqueCount="94">
  <si>
    <t>Relevés floristiques aquatiques - IBMR</t>
  </si>
  <si>
    <t xml:space="preserve">Formulaire modèle GIS Macrophytes v 3.1.1 - janvier 2013  </t>
  </si>
  <si>
    <t>SAGE</t>
  </si>
  <si>
    <t>L.BOURGOIN L.ISEBE</t>
  </si>
  <si>
    <t>conforme AFNOR T90-395 oct. 2003</t>
  </si>
  <si>
    <t>Bruyant</t>
  </si>
  <si>
    <t>Bruyant à Engins</t>
  </si>
  <si>
    <t>06146660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</si>
  <si>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</si>
  <si>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</si>
  <si>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</si>
  <si>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</si>
  <si>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</si>
  <si>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</si>
  <si>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</si>
  <si>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</si>
  <si>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</si>
  <si>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</si>
  <si>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pl. courant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</si>
  <si>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</si>
  <si>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</si>
  <si>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</si>
  <si>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</si>
  <si>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</si>
  <si>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</si>
  <si>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</si>
  <si>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</si>
  <si>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</si>
  <si>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</si>
  <si>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</si>
  <si>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</si>
  <si>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</si>
  <si>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</si>
  <si>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</si>
  <si>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</si>
  <si>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</si>
  <si>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</si>
  <si>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</si>
  <si>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</si>
  <si>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</si>
  <si>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</si>
  <si>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</si>
  <si>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</si>
  <si>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</si>
  <si>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</si>
  <si>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</si>
  <si>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</si>
  <si>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</si>
  <si>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</si>
  <si>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</si>
  <si>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</si>
  <si>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</si>
  <si>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</si>
  <si>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</si>
  <si>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</si>
  <si>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</si>
  <si>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</si>
  <si>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</si>
  <si>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</si>
  <si>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</si>
  <si>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</si>
  <si>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</si>
  <si>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</si>
  <si>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</si>
  <si>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</si>
  <si>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</si>
  <si>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</si>
  <si>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</si>
  <si>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</si>
  <si>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</si>
  <si>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</si>
  <si>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</si>
  <si>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</si>
  <si>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</si>
  <si>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</si>
  <si>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</si>
  <si>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</si>
  <si>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</si>
  <si>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</si>
  <si>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NOSSPX</t>
  </si>
  <si>
    <t>PHOSPX</t>
  </si>
  <si>
    <t>PELEND</t>
  </si>
  <si>
    <t>CINAQU</t>
  </si>
  <si>
    <t>RHYRIP</t>
  </si>
  <si>
    <t>MENLON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</si>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</sst>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2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2" fontId="0" fillId="4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3" borderId="54" xfId="0" applyNumberFormat="1" applyFont="1" applyFill="1" applyBorder="1" applyAlignment="1" applyProtection="1">
      <alignment horizontal="center"/>
      <protection locked="0"/>
    </xf>
    <xf numFmtId="2" fontId="0" fillId="43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3" borderId="65" xfId="0" applyNumberFormat="1" applyFont="1" applyFill="1" applyBorder="1" applyAlignment="1" applyProtection="1">
      <alignment horizontal="center"/>
      <protection locked="0"/>
    </xf>
    <xf numFmtId="2" fontId="0" fillId="43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RUYE_10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15.5</v>
      </c>
      <c r="M5" s="52"/>
      <c r="N5" s="53" t="s">
        <v>16</v>
      </c>
      <c r="O5" s="54">
        <v>13.357142857142858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13.4</v>
      </c>
      <c r="O8" s="84">
        <f>IF(ISERROR(AVERAGE(J23:J82)),"      -",AVERAGE(J23:J82))</f>
        <v>1.8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38.04</v>
      </c>
      <c r="C9" s="87">
        <v>32.01</v>
      </c>
      <c r="D9" s="88"/>
      <c r="E9" s="88"/>
      <c r="F9" s="89">
        <f aca="true" t="shared" si="0" ref="F9:F15">($B9*$B$7+$C9*$C$7)/100</f>
        <v>37.7385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3.0066592756745814</v>
      </c>
      <c r="O9" s="84">
        <f>IF(ISERROR(STDEVP(J23:J82)),"      -",STDEVP(J23:J82))</f>
        <v>0.7483314773547883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9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18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0.03</v>
      </c>
      <c r="C12" s="120"/>
      <c r="D12" s="111"/>
      <c r="E12" s="111"/>
      <c r="F12" s="112">
        <f t="shared" si="0"/>
        <v>0.0285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38.01</v>
      </c>
      <c r="C13" s="120">
        <v>32</v>
      </c>
      <c r="D13" s="111"/>
      <c r="E13" s="111"/>
      <c r="F13" s="112">
        <f t="shared" si="0"/>
        <v>37.7095</v>
      </c>
      <c r="G13" s="121"/>
      <c r="H13" s="67"/>
      <c r="I13" s="129" t="s">
        <v>41</v>
      </c>
      <c r="J13" s="123"/>
      <c r="K13" s="116">
        <f>COUNTIF($G$23:$G$82,"=BRm")+COUNTIF($G$23:$G$82,"=BRh")</f>
        <v>4</v>
      </c>
      <c r="L13" s="117"/>
      <c r="M13" s="130" t="s">
        <v>42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5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0.01</v>
      </c>
      <c r="D15" s="111"/>
      <c r="E15" s="111"/>
      <c r="F15" s="112">
        <f t="shared" si="0"/>
        <v>0.0005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48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38.04</v>
      </c>
      <c r="C17" s="120">
        <v>32.01</v>
      </c>
      <c r="D17" s="111"/>
      <c r="E17" s="111"/>
      <c r="F17" s="147"/>
      <c r="G17" s="112">
        <f>($B17*$B$7+$C17*$C$7)/100</f>
        <v>37.7385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37.7385</v>
      </c>
      <c r="G19" s="161">
        <f>SUM(G16:G18)</f>
        <v>37.7385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38.13</v>
      </c>
      <c r="C20" s="171">
        <f>SUM(C23:C82)</f>
        <v>32.059999999999995</v>
      </c>
      <c r="D20" s="172"/>
      <c r="E20" s="173" t="s">
        <v>54</v>
      </c>
      <c r="F20" s="174">
        <f>($B20*$B$7+$C20*$C$7)/100</f>
        <v>37.8265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36.2235</v>
      </c>
      <c r="C21" s="184">
        <f>C20*C7/100</f>
        <v>1.6029999999999998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37.8265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Nostoc sp.</v>
      </c>
      <c r="E23" s="213" t="e">
        <f>IF(D23="",,VLOOKUP(D23,D$22:D22,1,0))</f>
        <v>#N/A</v>
      </c>
      <c r="F23" s="214">
        <f aca="true" t="shared" si="1" ref="F23:F82">($B23*$B$7+$C23*$C$7)/100</f>
        <v>0.009500000000000001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9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Nostoc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1105</v>
      </c>
      <c r="Q23" s="221">
        <f aca="true" t="shared" si="2" ref="Q23:Q82">IF(ISTEXT(H23),"",(B23*$B$7/100)+(C23*$C$7/100))</f>
        <v>0.009500000000000001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9</v>
      </c>
      <c r="T23" s="222">
        <f aca="true" t="shared" si="5" ref="T23:T82">IF(ISERROR(R23*I23*J23),0,R23*I23*J23)</f>
        <v>9</v>
      </c>
      <c r="U23" s="222">
        <f aca="true" t="shared" si="6" ref="U23:U82">IF(ISERROR(R23*J23),0,R23*J23)</f>
        <v>1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NOSSPX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54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80</v>
      </c>
      <c r="B24" s="229">
        <v>0.11</v>
      </c>
      <c r="C24" s="230">
        <v>0.05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31" t="e">
        <f>IF(D24="",,VLOOKUP(D24,D$22:D23,1,0))</f>
        <v>#N/A</v>
      </c>
      <c r="F24" s="232">
        <f t="shared" si="1"/>
        <v>0.107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21">
        <f t="shared" si="2"/>
        <v>0.107</v>
      </c>
      <c r="R24" s="222">
        <f t="shared" si="3"/>
        <v>2</v>
      </c>
      <c r="S24" s="222">
        <f t="shared" si="4"/>
        <v>26</v>
      </c>
      <c r="T24" s="222">
        <f t="shared" si="5"/>
        <v>52</v>
      </c>
      <c r="U24" s="234">
        <f t="shared" si="6"/>
        <v>4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81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Pellia endiviifolia</v>
      </c>
      <c r="E25" s="231" t="e">
        <f>IF(D25="",,VLOOKUP(D25,D$22:D24,1,0))</f>
        <v>#N/A</v>
      </c>
      <c r="F25" s="232">
        <f t="shared" si="1"/>
        <v>0.009500000000000001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BRh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4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Pellia endiviifolia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1197</v>
      </c>
      <c r="Q25" s="221">
        <f t="shared" si="2"/>
        <v>0.009500000000000001</v>
      </c>
      <c r="R25" s="222">
        <f t="shared" si="3"/>
        <v>1</v>
      </c>
      <c r="S25" s="222">
        <f t="shared" si="4"/>
        <v>0</v>
      </c>
      <c r="T25" s="222">
        <f t="shared" si="5"/>
        <v>0</v>
      </c>
      <c r="U25" s="234">
        <f t="shared" si="6"/>
        <v>0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PELEND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120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82</v>
      </c>
      <c r="B26" s="229">
        <v>3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Cinclidotus aquaticus</v>
      </c>
      <c r="E26" s="231" t="e">
        <f>IF(D26="",,VLOOKUP(D26,D$22:D25,1,0))</f>
        <v>#N/A</v>
      </c>
      <c r="F26" s="232">
        <f t="shared" si="1"/>
        <v>2.85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Cinclidotus aquaticus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1318</v>
      </c>
      <c r="Q26" s="221">
        <f t="shared" si="2"/>
        <v>2.85</v>
      </c>
      <c r="R26" s="222">
        <f t="shared" si="3"/>
        <v>3</v>
      </c>
      <c r="S26" s="222">
        <f t="shared" si="4"/>
        <v>45</v>
      </c>
      <c r="T26" s="222">
        <f t="shared" si="5"/>
        <v>90</v>
      </c>
      <c r="U26" s="234">
        <f t="shared" si="6"/>
        <v>6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CINAQU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170</v>
      </c>
      <c r="AA26" s="226"/>
      <c r="AB26" s="227"/>
      <c r="AC26" s="227"/>
      <c r="BB26" s="8">
        <f t="shared" si="8"/>
        <v>1</v>
      </c>
    </row>
    <row r="27" spans="1:54" ht="12.75">
      <c r="A27" s="228" t="s">
        <v>16</v>
      </c>
      <c r="B27" s="229">
        <v>30</v>
      </c>
      <c r="C27" s="230">
        <v>28.5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Cratoneuron filicinum</v>
      </c>
      <c r="E27" s="231" t="e">
        <f>IF(D27="",,VLOOKUP(D27,D$22:D26,1,0))</f>
        <v>#N/A</v>
      </c>
      <c r="F27" s="232">
        <f t="shared" si="1"/>
        <v>29.925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18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Cratoneuron filicinum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1233</v>
      </c>
      <c r="Q27" s="221">
        <f t="shared" si="2"/>
        <v>29.925</v>
      </c>
      <c r="R27" s="222">
        <f t="shared" si="3"/>
        <v>4</v>
      </c>
      <c r="S27" s="222">
        <f t="shared" si="4"/>
        <v>72</v>
      </c>
      <c r="T27" s="222">
        <f t="shared" si="5"/>
        <v>216</v>
      </c>
      <c r="U27" s="234">
        <f t="shared" si="6"/>
        <v>12</v>
      </c>
      <c r="V27" s="223">
        <f t="shared" si="7"/>
      </c>
      <c r="W27" s="235" t="s">
        <v>55</v>
      </c>
      <c r="Y27" s="225" t="str">
        <f>IF(A27="new.cod","NEWCOD",IF(AND((Z27=""),ISTEXT(A27)),A27,IF(Z27="","",INDEX('[1]liste reference'!$A$8:$A$904,Z27))))</f>
        <v>CRAFIL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178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29">
        <v>5</v>
      </c>
      <c r="C28" s="230">
        <v>3.5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Rhynchostegium riparioides</v>
      </c>
      <c r="E28" s="231" t="e">
        <f>IF(D28="",,VLOOKUP(D28,D$22:D27,1,0))</f>
        <v>#N/A</v>
      </c>
      <c r="F28" s="232">
        <f t="shared" si="1"/>
        <v>4.925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Rhynchostegium riparioides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1268</v>
      </c>
      <c r="Q28" s="221">
        <f t="shared" si="2"/>
        <v>4.925</v>
      </c>
      <c r="R28" s="222">
        <f t="shared" si="3"/>
        <v>3</v>
      </c>
      <c r="S28" s="222">
        <f t="shared" si="4"/>
        <v>36</v>
      </c>
      <c r="T28" s="222">
        <f t="shared" si="5"/>
        <v>36</v>
      </c>
      <c r="U28" s="234">
        <f t="shared" si="6"/>
        <v>3</v>
      </c>
      <c r="V28" s="223">
        <f t="shared" si="7"/>
      </c>
      <c r="W28" s="224" t="s">
        <v>55</v>
      </c>
      <c r="Y28" s="225" t="str">
        <f>IF(A28="new.cod","NEWCOD",IF(AND((Z28=""),ISTEXT(A28)),A28,IF(Z28="","",INDEX('[1]liste reference'!$A$8:$A$904,Z28))))</f>
        <v>RHYRIP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252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Mentha longifolia</v>
      </c>
      <c r="E29" s="231" t="e">
        <f>IF(D29="",,VLOOKUP(D29,D$22:D28,1,0))</f>
        <v>#N/A</v>
      </c>
      <c r="F29" s="232">
        <f t="shared" si="1"/>
        <v>0.0005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PHe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8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Mentha longifolia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19856</v>
      </c>
      <c r="Q29" s="221">
        <f t="shared" si="2"/>
        <v>0.0005</v>
      </c>
      <c r="R29" s="222">
        <f t="shared" si="3"/>
        <v>1</v>
      </c>
      <c r="S29" s="222">
        <f t="shared" si="4"/>
        <v>0</v>
      </c>
      <c r="T29" s="222">
        <f t="shared" si="5"/>
        <v>0</v>
      </c>
      <c r="U29" s="234">
        <f t="shared" si="6"/>
        <v>0</v>
      </c>
      <c r="V29" s="223">
        <f t="shared" si="7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MENLON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609</v>
      </c>
      <c r="AA29" s="226"/>
      <c r="AB29" s="227"/>
      <c r="AC29" s="227"/>
      <c r="BB29" s="8">
        <f t="shared" si="8"/>
        <v>1</v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1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2"/>
      </c>
      <c r="R30" s="222">
        <f t="shared" si="3"/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>
        <f t="shared" si="7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8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1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2"/>
      </c>
      <c r="R31" s="222">
        <f t="shared" si="3"/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8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1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>
        <f t="shared" si="7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8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1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8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1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8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1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8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Bruyant</v>
      </c>
      <c r="B84" s="265" t="str">
        <f>C3</f>
        <v>Bruyant à Engins</v>
      </c>
      <c r="C84" s="266">
        <f>A4</f>
        <v>41465</v>
      </c>
      <c r="D84" s="267">
        <f>IF(ISERROR(SUM($T$23:$T$82)/SUM($U$23:$U$82)),"",SUM($T$23:$T$82)/SUM($U$23:$U$82))</f>
        <v>15.5</v>
      </c>
      <c r="E84" s="268">
        <f>N13</f>
        <v>7</v>
      </c>
      <c r="F84" s="265">
        <f>N14</f>
        <v>5</v>
      </c>
      <c r="G84" s="265">
        <f>N15</f>
        <v>2</v>
      </c>
      <c r="H84" s="265">
        <f>N16</f>
        <v>2</v>
      </c>
      <c r="I84" s="265">
        <f>N17</f>
        <v>1</v>
      </c>
      <c r="J84" s="269">
        <f>N8</f>
        <v>13.4</v>
      </c>
      <c r="K84" s="267">
        <f>N9</f>
        <v>3.0066592756745814</v>
      </c>
      <c r="L84" s="268">
        <f>N10</f>
        <v>9</v>
      </c>
      <c r="M84" s="268">
        <f>N11</f>
        <v>18</v>
      </c>
      <c r="N84" s="267">
        <f>O8</f>
        <v>1.8</v>
      </c>
      <c r="O84" s="267">
        <f>O9</f>
        <v>0.7483314773547883</v>
      </c>
      <c r="P84" s="268">
        <f>O10</f>
        <v>1</v>
      </c>
      <c r="Q84" s="268">
        <f>O11</f>
        <v>3</v>
      </c>
      <c r="R84" s="268">
        <f>F21</f>
        <v>37.8265</v>
      </c>
      <c r="S84" s="268">
        <f>K11</f>
        <v>0</v>
      </c>
      <c r="T84" s="268">
        <f>K12</f>
        <v>2</v>
      </c>
      <c r="U84" s="268">
        <f>K13</f>
        <v>4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72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216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12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13.357142857142858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CRAFIL</v>
      </c>
      <c r="T91" s="8">
        <f>IF(ISERROR(MATCH($S$93,'[1]liste reference'!$A$8:$A$904,0)),MATCH($S$93,'[1]liste reference'!$B$8:$B$904,0),(MATCH($S$93,'[1]liste reference'!$A$8:$A$904,0)))</f>
        <v>178</v>
      </c>
      <c r="U91" s="263"/>
    </row>
    <row r="92" spans="17:20" ht="12.75">
      <c r="Q92" s="8" t="s">
        <v>92</v>
      </c>
      <c r="R92" s="8"/>
      <c r="S92" s="8">
        <f>MATCH(S87,$S$23:$S$82,0)</f>
        <v>5</v>
      </c>
      <c r="T92" s="8"/>
    </row>
    <row r="93" spans="17:20" ht="12.75">
      <c r="Q93" s="222" t="s">
        <v>93</v>
      </c>
      <c r="R93" s="8"/>
      <c r="S93" s="222" t="str">
        <f>INDEX($A$23:$A$82,$S$92)</f>
        <v>CRAFIL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2014-03-07T16:51:51Z</dcterms:created>
  <dcterms:modified xsi:type="dcterms:W3CDTF">2014-03-07T16:51:57Z</dcterms:modified>
  <cp:category/>
  <cp:version/>
  <cp:contentType/>
  <cp:contentStatus/>
</cp:coreProperties>
</file>