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<sst xmlns="http://schemas.openxmlformats.org/spreadsheetml/2006/main" count="217" uniqueCount="97">
  <si>
    <t>Relevés floristiques aquatiques - IBMR</t>
  </si>
  <si>
    <t>modèle Irstea-GIS</t>
  </si>
  <si>
    <t>SAGE ENVIRONNEMENT</t>
  </si>
  <si>
    <t>S. RENAHY P-E. BELLY</t>
  </si>
  <si>
    <t>BRUYANT</t>
  </si>
  <si>
    <t>BRUYANT A ENGINS</t>
  </si>
  <si>
    <t>06146660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</si>
  <si>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</si>
  <si>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</si>
  <si>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</si>
  <si>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</si>
  <si>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</si>
  <si>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</si>
  <si>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</si>
  <si>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</si>
  <si>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</si>
  <si>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PALCOM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</si>
  <si>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</si>
  <si>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</si>
  <si>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</si>
  <si>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</si>
  <si>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</si>
  <si>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</si>
  <si>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</si>
  <si>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</si>
  <si>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</si>
  <si>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</si>
  <si>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</si>
  <si>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</si>
  <si>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</si>
  <si>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</si>
  <si>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</si>
  <si>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</si>
  <si>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</si>
  <si>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</si>
  <si>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</si>
  <si>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</si>
  <si>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</si>
  <si>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</si>
  <si>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</si>
  <si>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</si>
  <si>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</si>
  <si>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</si>
  <si>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</si>
  <si>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</si>
  <si>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</si>
  <si>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</si>
  <si>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</si>
  <si>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</si>
  <si>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</si>
  <si>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</si>
  <si>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</si>
  <si>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</si>
  <si>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</si>
  <si>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</si>
  <si>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</si>
  <si>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</si>
  <si>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</si>
  <si>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</si>
  <si>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</si>
  <si>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</si>
  <si>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</si>
  <si>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</si>
  <si>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</si>
  <si>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</si>
  <si>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</si>
  <si>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</si>
  <si>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</si>
  <si>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</si>
  <si>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</si>
  <si>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</si>
  <si>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</si>
  <si>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</si>
  <si>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</si>
  <si>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</si>
  <si>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</si>
  <si>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</si>
  <si>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</si>
  <si>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</si>
  <si>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</si>
  <si>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HYUSPX</t>
  </si>
  <si>
    <t xml:space="preserve"> -</t>
  </si>
  <si>
    <t>MICSPX</t>
  </si>
  <si>
    <t>PHOSPX</t>
  </si>
  <si>
    <t>SPISPX</t>
  </si>
  <si>
    <t>VAUSPX</t>
  </si>
  <si>
    <t>PELEND</t>
  </si>
  <si>
    <t>CINAQU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</si>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</sst>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RUYE_09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B26" sqref="AB26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13.76</v>
      </c>
      <c r="N5" s="50"/>
      <c r="O5" s="51" t="s">
        <v>16</v>
      </c>
      <c r="P5" s="52">
        <v>13.176470588235293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98</v>
      </c>
      <c r="C7" s="68">
        <v>2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12.125</v>
      </c>
      <c r="P8" s="85">
        <f>IF(ISERROR(AVERAGE(K23:K82)),"  ",AVERAGE(K23:K82))</f>
        <v>1.625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37.75</v>
      </c>
      <c r="C9" s="88">
        <v>5.11</v>
      </c>
      <c r="D9" s="89"/>
      <c r="E9" s="89"/>
      <c r="F9" s="90">
        <f>($B9*$B$7+$C9*$C$7)/100</f>
        <v>37.0972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3.585997071945263</v>
      </c>
      <c r="P9" s="85">
        <f>IF(ISERROR(STDEVP(K23:K82)),"  ",STDEVP(K23:K82))</f>
        <v>0.4841229182759271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0.65</v>
      </c>
      <c r="C12" s="114"/>
      <c r="D12" s="89"/>
      <c r="E12" s="89"/>
      <c r="F12" s="106">
        <f>($B12*$B$7+$C12*$C$7)/100</f>
        <v>0.637</v>
      </c>
      <c r="G12" s="107"/>
      <c r="H12" s="56"/>
      <c r="I12" s="5"/>
      <c r="J12" s="108" t="s">
        <v>38</v>
      </c>
      <c r="K12" s="109"/>
      <c r="L12" s="110">
        <f>COUNTIF($G$23:$G$82,"=ALG")</f>
        <v>5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37.1</v>
      </c>
      <c r="C13" s="114">
        <v>5.11</v>
      </c>
      <c r="D13" s="89"/>
      <c r="E13" s="89"/>
      <c r="F13" s="106">
        <f>($B13*$B$7+$C13*$C$7)/100</f>
        <v>36.4602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5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37.75</v>
      </c>
      <c r="C17" s="114">
        <v>5.11</v>
      </c>
      <c r="D17" s="89"/>
      <c r="E17" s="89"/>
      <c r="F17" s="133"/>
      <c r="G17" s="134">
        <f>($B17*$B$7+$C17*$C$7)/100</f>
        <v>37.0972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0.8888888888888888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37.0972</v>
      </c>
      <c r="G19" s="157">
        <f>SUM(G16:G18)</f>
        <v>37.0972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37.75</v>
      </c>
      <c r="C20" s="167">
        <f>SUM(C23:C62)</f>
        <v>5.109999999999999</v>
      </c>
      <c r="D20" s="168"/>
      <c r="E20" s="169" t="s">
        <v>54</v>
      </c>
      <c r="F20" s="170">
        <f>($B20*$B$7+$C20*$C$7)/100</f>
        <v>37.0972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36.995</v>
      </c>
      <c r="C21" s="178">
        <f>C20*C7/100</f>
        <v>0.10219999999999999</v>
      </c>
      <c r="D21" s="179" t="s">
        <v>58</v>
      </c>
      <c r="E21" s="180"/>
      <c r="F21" s="181">
        <f>B21+C21</f>
        <v>37.0972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Hydrurus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0.0098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Hydrurus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6183</v>
      </c>
      <c r="R23" s="219">
        <f aca="true" t="shared" si="2" ref="R23:R82">IF(ISTEXT(H23),"",(B23*$B$7/100)+(C23*$C$7/100))</f>
        <v>0.0098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16</v>
      </c>
      <c r="U23" s="220">
        <f aca="true" t="shared" si="5" ref="U23:U82">IF(ISERROR(S23*J23*K23),0,S23*J23*K23)</f>
        <v>32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HYUSPX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56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Microspora sp.</v>
      </c>
      <c r="E24" s="228" t="e">
        <f>IF(D24="",,VLOOKUP(D24,D$22:D23,1,0))</f>
        <v>#N/A</v>
      </c>
      <c r="F24" s="229">
        <f t="shared" si="0"/>
        <v>0.0098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Microspora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1132</v>
      </c>
      <c r="R24" s="219">
        <f t="shared" si="2"/>
        <v>0.0098</v>
      </c>
      <c r="S24" s="220">
        <f t="shared" si="3"/>
        <v>1</v>
      </c>
      <c r="T24" s="220">
        <f t="shared" si="4"/>
        <v>12</v>
      </c>
      <c r="U24" s="220">
        <f t="shared" si="5"/>
        <v>24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MICSPX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66</v>
      </c>
    </row>
    <row r="25" spans="1:26" ht="12.75">
      <c r="A25" s="224" t="s">
        <v>83</v>
      </c>
      <c r="B25" s="225">
        <v>0.6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Phormidium sp.</v>
      </c>
      <c r="E25" s="228" t="e">
        <f>IF(D25="",,VLOOKUP(D25,D$22:D24,1,0))</f>
        <v>#N/A</v>
      </c>
      <c r="F25" s="229">
        <f t="shared" si="0"/>
        <v>0.588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Phormidium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6414</v>
      </c>
      <c r="R25" s="219">
        <f t="shared" si="2"/>
        <v>0.588</v>
      </c>
      <c r="S25" s="220">
        <f t="shared" si="3"/>
        <v>2</v>
      </c>
      <c r="T25" s="220">
        <f t="shared" si="4"/>
        <v>26</v>
      </c>
      <c r="U25" s="220">
        <f t="shared" si="5"/>
        <v>52</v>
      </c>
      <c r="V25" s="236">
        <f t="shared" si="6"/>
        <v>4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PHOSPX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88</v>
      </c>
    </row>
    <row r="26" spans="1:26" ht="12.75">
      <c r="A26" s="224" t="s">
        <v>84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Spirogyra sp.</v>
      </c>
      <c r="E26" s="228" t="e">
        <f>IF(D26="",,VLOOKUP(D26,D$22:D25,1,0))</f>
        <v>#N/A</v>
      </c>
      <c r="F26" s="229">
        <f t="shared" si="0"/>
        <v>0.0098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Spirogyra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1147</v>
      </c>
      <c r="R26" s="219">
        <f t="shared" si="2"/>
        <v>0.0098</v>
      </c>
      <c r="S26" s="220">
        <f t="shared" si="3"/>
        <v>1</v>
      </c>
      <c r="T26" s="220">
        <f t="shared" si="4"/>
        <v>10</v>
      </c>
      <c r="U26" s="220">
        <f t="shared" si="5"/>
        <v>10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SPISPX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102</v>
      </c>
    </row>
    <row r="27" spans="1:26" ht="12.75">
      <c r="A27" s="224" t="s">
        <v>85</v>
      </c>
      <c r="B27" s="225">
        <v>0.02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Vaucheria sp.</v>
      </c>
      <c r="E27" s="228" t="e">
        <f>IF(D27="",,VLOOKUP(D27,D$22:D26,1,0))</f>
        <v>#N/A</v>
      </c>
      <c r="F27" s="229">
        <f t="shared" si="0"/>
        <v>0.0196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4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Vaucheria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1169</v>
      </c>
      <c r="R27" s="219">
        <f t="shared" si="2"/>
        <v>0.0196</v>
      </c>
      <c r="S27" s="220">
        <f t="shared" si="3"/>
        <v>1</v>
      </c>
      <c r="T27" s="220">
        <f t="shared" si="4"/>
        <v>4</v>
      </c>
      <c r="U27" s="220">
        <f t="shared" si="5"/>
        <v>4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VAUSPX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118</v>
      </c>
    </row>
    <row r="28" spans="1:26" ht="12.75">
      <c r="A28" s="224" t="s">
        <v>86</v>
      </c>
      <c r="B28" s="225">
        <v>0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Pellia endiviifolia</v>
      </c>
      <c r="E28" s="228" t="e">
        <f>IF(D28="",,VLOOKUP(D28,D$22:D27,1,0))</f>
        <v>#N/A</v>
      </c>
      <c r="F28" s="229">
        <f t="shared" si="0"/>
        <v>0.0002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BRh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4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nc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nc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Pellia endiviifolia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1197</v>
      </c>
      <c r="R28" s="219">
        <f t="shared" si="2"/>
        <v>0.0002</v>
      </c>
      <c r="S28" s="220">
        <f t="shared" si="3"/>
        <v>1</v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PELEND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167</v>
      </c>
    </row>
    <row r="29" spans="1:26" ht="12.75">
      <c r="A29" s="224" t="s">
        <v>87</v>
      </c>
      <c r="B29" s="225">
        <v>2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Cinclidotus aquaticus</v>
      </c>
      <c r="E29" s="228" t="e">
        <f>IF(D29="",,VLOOKUP(D29,D$22:D28,1,0))</f>
        <v>#N/A</v>
      </c>
      <c r="F29" s="229">
        <f t="shared" si="0"/>
        <v>1.96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15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Cinclidotus aquaticus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1318</v>
      </c>
      <c r="R29" s="219">
        <f t="shared" si="2"/>
        <v>1.96</v>
      </c>
      <c r="S29" s="220">
        <f t="shared" si="3"/>
        <v>3</v>
      </c>
      <c r="T29" s="220">
        <f t="shared" si="4"/>
        <v>45</v>
      </c>
      <c r="U29" s="220">
        <f t="shared" si="5"/>
        <v>90</v>
      </c>
      <c r="V29" s="236">
        <f t="shared" si="6"/>
        <v>6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CINAQU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221</v>
      </c>
    </row>
    <row r="30" spans="1:26" ht="12.75">
      <c r="A30" s="224" t="s">
        <v>16</v>
      </c>
      <c r="B30" s="225">
        <v>35</v>
      </c>
      <c r="C30" s="226">
        <v>5.1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Palustriella commutata</v>
      </c>
      <c r="E30" s="228" t="e">
        <f>IF(D30="",,VLOOKUP(D30,D$22:D29,1,0))</f>
        <v>#N/A</v>
      </c>
      <c r="F30" s="229">
        <f t="shared" si="0"/>
        <v>34.402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15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Palustriella commutata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19903</v>
      </c>
      <c r="R30" s="219">
        <f t="shared" si="2"/>
        <v>34.401999999999994</v>
      </c>
      <c r="S30" s="220">
        <f t="shared" si="3"/>
        <v>4</v>
      </c>
      <c r="T30" s="220">
        <f t="shared" si="4"/>
        <v>60</v>
      </c>
      <c r="U30" s="220">
        <f t="shared" si="5"/>
        <v>120</v>
      </c>
      <c r="V30" s="236">
        <f t="shared" si="6"/>
        <v>8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PALCOM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309</v>
      </c>
    </row>
    <row r="31" spans="1:26" ht="12.75">
      <c r="A31" s="224" t="s">
        <v>88</v>
      </c>
      <c r="B31" s="225">
        <v>0.1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Rhynchostegium riparioides</v>
      </c>
      <c r="E31" s="228" t="e">
        <f>IF(D31="",,VLOOKUP(D31,D$22:D30,1,0))</f>
        <v>#N/A</v>
      </c>
      <c r="F31" s="229">
        <f t="shared" si="0"/>
        <v>0.098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12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Rhynchostegium riparioides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31691</v>
      </c>
      <c r="R31" s="219">
        <f t="shared" si="2"/>
        <v>0.098</v>
      </c>
      <c r="S31" s="220">
        <f t="shared" si="3"/>
        <v>1</v>
      </c>
      <c r="T31" s="220">
        <f t="shared" si="4"/>
        <v>12</v>
      </c>
      <c r="U31" s="220">
        <f t="shared" si="5"/>
        <v>12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RHYRIP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345</v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37.0972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25</v>
      </c>
      <c r="W83" s="220"/>
      <c r="X83" s="258"/>
      <c r="Y83" s="258"/>
      <c r="Z83" s="259"/>
    </row>
    <row r="84" spans="1:26" ht="12.75" hidden="1">
      <c r="A84" s="253" t="str">
        <f>A3</f>
        <v>BRUYANT</v>
      </c>
      <c r="B84" s="187" t="str">
        <f>C3</f>
        <v>BRUYANT A ENGINS</v>
      </c>
      <c r="C84" s="260" t="str">
        <f>A4</f>
        <v>(Date)</v>
      </c>
      <c r="D84" s="261">
        <f>IF(OR(ISERROR(SUM($U$23:$U$82)/SUM($V$23:$V$82)),F7&lt;&gt;100),-1,SUM($U$23:$U$82)/SUM($V$23:$V$82))</f>
        <v>13.76</v>
      </c>
      <c r="E84" s="262">
        <f>O13</f>
        <v>9</v>
      </c>
      <c r="F84" s="187">
        <f>O14</f>
        <v>8</v>
      </c>
      <c r="G84" s="187">
        <f>O15</f>
        <v>3</v>
      </c>
      <c r="H84" s="187">
        <f>O16</f>
        <v>5</v>
      </c>
      <c r="I84" s="187">
        <f>O17</f>
        <v>0</v>
      </c>
      <c r="J84" s="263">
        <f>O8</f>
        <v>12.125</v>
      </c>
      <c r="K84" s="264">
        <f>O9</f>
        <v>3.585997071945263</v>
      </c>
      <c r="L84" s="265">
        <f>O10</f>
        <v>4</v>
      </c>
      <c r="M84" s="265">
        <f>O11</f>
        <v>16</v>
      </c>
      <c r="N84" s="264">
        <f>P8</f>
        <v>1.625</v>
      </c>
      <c r="O84" s="264">
        <f>P9</f>
        <v>0.4841229182759271</v>
      </c>
      <c r="P84" s="265">
        <f>P10</f>
        <v>1</v>
      </c>
      <c r="Q84" s="265">
        <f>P11</f>
        <v>2</v>
      </c>
      <c r="R84" s="265">
        <f>F21</f>
        <v>37.0972</v>
      </c>
      <c r="S84" s="265">
        <f>L11</f>
        <v>0</v>
      </c>
      <c r="T84" s="265">
        <f>L12</f>
        <v>5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89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90</v>
      </c>
      <c r="S87" s="5"/>
      <c r="T87" s="272">
        <f>VLOOKUP($T$91,($A$23:$U$82),20,FALSE)</f>
        <v>60</v>
      </c>
      <c r="U87" s="5"/>
      <c r="V87" s="5"/>
    </row>
    <row r="88" spans="3:22" ht="12.75" hidden="1">
      <c r="C88" s="269"/>
      <c r="D88" s="269"/>
      <c r="E88" s="269"/>
      <c r="R88" s="5" t="s">
        <v>91</v>
      </c>
      <c r="S88" s="5"/>
      <c r="T88" s="272">
        <f>VLOOKUP($T$91,($A$23:$U$82),21,FALSE)</f>
        <v>120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92</v>
      </c>
      <c r="S89" s="5"/>
      <c r="T89" s="272">
        <f>MAX($V$23:$V$82)</f>
        <v>8</v>
      </c>
      <c r="U89" s="5"/>
    </row>
    <row r="90" spans="3:21" ht="12.75" hidden="1">
      <c r="C90" s="269"/>
      <c r="D90" s="269"/>
      <c r="E90" s="269"/>
      <c r="R90" s="5" t="s">
        <v>93</v>
      </c>
      <c r="S90" s="5" t="s">
        <v>10</v>
      </c>
      <c r="T90" s="273">
        <f>IF(OR(ISERROR(SUM($U$23:$U$82)/SUM($V$23:$V$82)),F7&lt;&gt;100),-1,(SUM($U$23:$U$82)-T88)/(SUM($V$23:$V$82)-T89))</f>
        <v>13.176470588235293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94</v>
      </c>
      <c r="S91" s="220"/>
      <c r="T91" s="220" t="str">
        <f>INDEX('[1]liste reference'!$A$6:$A$1174,$U$91)</f>
        <v>PALCOM</v>
      </c>
      <c r="U91" s="5">
        <f>IF(ISERROR(MATCH($T$93,'[1]liste reference'!$A$6:$A$1174,0)),MATCH($T$93,'[1]liste reference'!$B$6:$B$1174,0),(MATCH($T$93,'[1]liste reference'!$A$6:$A$1174,0)))</f>
        <v>309</v>
      </c>
      <c r="V91" s="274"/>
    </row>
    <row r="92" spans="3:21" ht="12.75" hidden="1">
      <c r="C92" s="269"/>
      <c r="D92" s="269"/>
      <c r="E92" s="269"/>
      <c r="R92" s="5" t="s">
        <v>95</v>
      </c>
      <c r="S92" s="5"/>
      <c r="T92" s="5">
        <f>MATCH(T89,$V$23:$V$82,0)</f>
        <v>8</v>
      </c>
      <c r="U92" s="5"/>
    </row>
    <row r="93" spans="3:21" ht="12.75" hidden="1">
      <c r="C93" s="269"/>
      <c r="D93" s="269"/>
      <c r="E93" s="269"/>
      <c r="R93" s="220" t="s">
        <v>96</v>
      </c>
      <c r="S93" s="5"/>
      <c r="T93" s="220" t="str">
        <f>INDEX($A$23:$A$82,$T$92)</f>
        <v>PALCOM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2016-04-05T08:35:41Z</dcterms:created>
  <dcterms:modified xsi:type="dcterms:W3CDTF">2016-04-05T08:35:44Z</dcterms:modified>
  <cp:category/>
  <cp:version/>
  <cp:contentType/>
  <cp:contentStatus/>
</cp:coreProperties>
</file>