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<sst xmlns="http://schemas.openxmlformats.org/spreadsheetml/2006/main" count="220" uniqueCount="110">
  <si>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</si>
  <si>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</si>
  <si>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</si>
  <si>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</si>
  <si>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</si>
  <si>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BOURNE</t>
  </si>
  <si>
    <t>BOURNE A VILLARD DE LANS</t>
  </si>
  <si>
    <t>06147525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</si>
  <si>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</si>
  <si>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</si>
  <si>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</si>
  <si>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</si>
  <si>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</si>
  <si>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</si>
  <si>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</si>
  <si>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</si>
  <si>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</si>
  <si>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</si>
  <si>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</si>
  <si>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</si>
  <si>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</si>
  <si>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</si>
  <si>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</si>
  <si>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</si>
  <si>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</si>
  <si>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</si>
  <si>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</si>
  <si>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</si>
  <si>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</si>
  <si>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</si>
  <si>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</si>
  <si>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</si>
  <si>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</si>
  <si>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</si>
  <si>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</si>
  <si>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</si>
  <si>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</si>
  <si>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</si>
  <si>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</si>
  <si>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</si>
  <si>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</si>
  <si>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</si>
  <si>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</si>
  <si>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</si>
  <si>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</si>
  <si>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</si>
  <si>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</si>
  <si>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</si>
  <si>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</si>
  <si>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</si>
  <si>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</si>
  <si>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</si>
  <si>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</si>
  <si>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</si>
  <si>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</si>
  <si>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</si>
  <si>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</si>
  <si>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</si>
  <si>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</si>
  <si>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</si>
  <si>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</si>
  <si>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</si>
  <si>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</si>
  <si>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</si>
  <si>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</si>
  <si>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</si>
  <si>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</si>
  <si>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</si>
  <si>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</si>
  <si>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</si>
  <si>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</si>
  <si>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</si>
  <si>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</si>
  <si>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</si>
  <si>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</si>
  <si>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</si>
  <si>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</si>
  <si>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</si>
  <si>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</si>
  <si>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HYUSPX</t>
  </si>
  <si>
    <t>NOSSPX</t>
  </si>
  <si>
    <t>VAUSPX</t>
  </si>
  <si>
    <t>CINRIP</t>
  </si>
  <si>
    <t>CRACOM</t>
  </si>
  <si>
    <t>RHYRIP</t>
  </si>
  <si>
    <t>GRODEN</t>
  </si>
  <si>
    <t>RANPES</t>
  </si>
  <si>
    <t>BERERE</t>
  </si>
  <si>
    <t>CAHPAL</t>
  </si>
  <si>
    <t>CARACT</t>
  </si>
  <si>
    <t>GLYFLU</t>
  </si>
  <si>
    <t>JUNSPX</t>
  </si>
  <si>
    <t>LYTSAL</t>
  </si>
  <si>
    <t>MENLON</t>
  </si>
  <si>
    <t>SCISYL</t>
  </si>
  <si>
    <t>SPAERE</t>
  </si>
  <si>
    <t>VERANA</t>
  </si>
  <si>
    <t>FILULM</t>
  </si>
  <si>
    <t>SCRSPX</t>
  </si>
  <si>
    <t>newcod</t>
  </si>
  <si>
    <t>Salix fragilis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</si>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</sst>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VIL_10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11.818181818181818</v>
      </c>
      <c r="M5" s="52"/>
      <c r="N5" s="53" t="s">
        <v>16</v>
      </c>
      <c r="O5" s="54">
        <v>12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11.5</v>
      </c>
      <c r="O8" s="84">
        <f>IF(ISERROR(AVERAGE(J23:J82)),"      -",AVERAGE(J23:J82))</f>
        <v>1.6428571428571428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33.24</v>
      </c>
      <c r="C9" s="87">
        <v>27.85</v>
      </c>
      <c r="D9" s="88"/>
      <c r="E9" s="88"/>
      <c r="F9" s="89">
        <f aca="true" t="shared" si="0" ref="F9:F15">($B9*$B$7+$C9*$C$7)/100</f>
        <v>32.701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2.8970428272390354</v>
      </c>
      <c r="O9" s="84">
        <f>IF(ISERROR(STDEVP(J23:J82)),"      -",STDEVP(J23:J82))</f>
        <v>0.47915742374995496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0.61</v>
      </c>
      <c r="C12" s="120">
        <v>3</v>
      </c>
      <c r="D12" s="111"/>
      <c r="E12" s="111"/>
      <c r="F12" s="112">
        <f t="shared" si="0"/>
        <v>0.8490000000000001</v>
      </c>
      <c r="G12" s="121"/>
      <c r="H12" s="67"/>
      <c r="I12" s="122" t="s">
        <v>39</v>
      </c>
      <c r="J12" s="123"/>
      <c r="K12" s="116">
        <f>COUNTIF($G$23:$G$82,"=ALG")</f>
        <v>3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25.08</v>
      </c>
      <c r="C13" s="120">
        <v>10.04</v>
      </c>
      <c r="D13" s="111"/>
      <c r="E13" s="111"/>
      <c r="F13" s="112">
        <f t="shared" si="0"/>
        <v>23.576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22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7.55</v>
      </c>
      <c r="C15" s="139">
        <v>14.81</v>
      </c>
      <c r="D15" s="111"/>
      <c r="E15" s="111"/>
      <c r="F15" s="112">
        <f t="shared" si="0"/>
        <v>8.276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14</v>
      </c>
      <c r="L15" s="117"/>
      <c r="M15" s="140" t="s">
        <v>48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9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31.7</v>
      </c>
      <c r="C17" s="120">
        <v>13.25</v>
      </c>
      <c r="D17" s="111"/>
      <c r="E17" s="111"/>
      <c r="F17" s="147"/>
      <c r="G17" s="112">
        <f>($B17*$B$7+$C17*$C$7)/100</f>
        <v>29.855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1.54</v>
      </c>
      <c r="C18" s="151">
        <v>14.6</v>
      </c>
      <c r="D18" s="111"/>
      <c r="E18" s="152" t="s">
        <v>54</v>
      </c>
      <c r="F18" s="147"/>
      <c r="G18" s="112">
        <f>($B18*$B$7+$C18*$C$7)/100</f>
        <v>2.846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32.701</v>
      </c>
      <c r="G19" s="161">
        <f>SUM(G16:G18)</f>
        <v>32.701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33.25</v>
      </c>
      <c r="C20" s="171">
        <f>SUM(C23:C82)</f>
        <v>27.850000000000012</v>
      </c>
      <c r="D20" s="172"/>
      <c r="E20" s="173" t="s">
        <v>54</v>
      </c>
      <c r="F20" s="174">
        <f>($B20*$B$7+$C20*$C$7)/100</f>
        <v>32.71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29.925</v>
      </c>
      <c r="C21" s="184">
        <f>C20*C7/100</f>
        <v>2.785000000000001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32.71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0.2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Hydrurus sp.</v>
      </c>
      <c r="E23" s="213" t="e">
        <f>IF(D23="",,VLOOKUP(D23,D$22:D22,1,0))</f>
        <v>#N/A</v>
      </c>
      <c r="F23" s="214">
        <f aca="true" t="shared" si="1" ref="F23:F82">($B23*$B$7+$C23*$C$7)/100</f>
        <v>0.18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Hydrurus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6183</v>
      </c>
      <c r="Q23" s="221">
        <f aca="true" t="shared" si="2" ref="Q23:Q82">IF(ISTEXT(H23),"",(B23*$B$7/100)+(C23*$C$7/100))</f>
        <v>0.18</v>
      </c>
      <c r="R23" s="222">
        <f aca="true" t="shared" si="3" ref="R23:R82">IF(OR(ISTEXT(H23),Q23=0),"",IF(Q23&lt;0.1,1,IF(Q23&lt;1,2,IF(Q23&lt;10,3,IF(Q23&lt;50,4,IF(Q23&gt;=50,5,""))))))</f>
        <v>2</v>
      </c>
      <c r="S23" s="222">
        <f aca="true" t="shared" si="4" ref="S23:S82">IF(ISERROR(R23*I23),0,R23*I23)</f>
        <v>32</v>
      </c>
      <c r="T23" s="222">
        <f aca="true" t="shared" si="5" ref="T23:T82">IF(ISERROR(R23*I23*J23),0,R23*I23*J23)</f>
        <v>64</v>
      </c>
      <c r="U23" s="222">
        <f aca="true" t="shared" si="6" ref="U23:U82">IF(ISERROR(R23*J23),0,R23*J23)</f>
        <v>4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HYUSPX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80</v>
      </c>
      <c r="B24" s="229">
        <v>0.01</v>
      </c>
      <c r="C24" s="230">
        <v>3.0000000000000004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Nostoc sp.</v>
      </c>
      <c r="E24" s="231" t="e">
        <f>IF(D24="",,VLOOKUP(D24,D$22:D23,1,0))</f>
        <v>#N/A</v>
      </c>
      <c r="F24" s="232">
        <f t="shared" si="1"/>
        <v>0.309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9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Nostoc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1105</v>
      </c>
      <c r="Q24" s="221">
        <f t="shared" si="2"/>
        <v>0.30900000000000005</v>
      </c>
      <c r="R24" s="222">
        <f t="shared" si="3"/>
        <v>2</v>
      </c>
      <c r="S24" s="222">
        <f t="shared" si="4"/>
        <v>18</v>
      </c>
      <c r="T24" s="222">
        <f t="shared" si="5"/>
        <v>18</v>
      </c>
      <c r="U24" s="234">
        <f t="shared" si="6"/>
        <v>2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NOSSPX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54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81</v>
      </c>
      <c r="B25" s="229">
        <v>0.4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1"/>
        <v>0.36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2"/>
        <v>0.36</v>
      </c>
      <c r="R25" s="222">
        <f t="shared" si="3"/>
        <v>2</v>
      </c>
      <c r="S25" s="222">
        <f t="shared" si="4"/>
        <v>8</v>
      </c>
      <c r="T25" s="222">
        <f t="shared" si="5"/>
        <v>8</v>
      </c>
      <c r="U25" s="234">
        <f t="shared" si="6"/>
        <v>2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82</v>
      </c>
      <c r="B26" s="229">
        <v>0.01</v>
      </c>
      <c r="C26" s="230">
        <v>0.03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riparius</v>
      </c>
      <c r="E26" s="231" t="e">
        <f>IF(D26="",,VLOOKUP(D26,D$22:D25,1,0))</f>
        <v>#N/A</v>
      </c>
      <c r="F26" s="232">
        <f t="shared" si="1"/>
        <v>0.012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riparius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1321</v>
      </c>
      <c r="Q26" s="221">
        <f t="shared" si="2"/>
        <v>0.012</v>
      </c>
      <c r="R26" s="222">
        <f t="shared" si="3"/>
        <v>1</v>
      </c>
      <c r="S26" s="222">
        <f t="shared" si="4"/>
        <v>13</v>
      </c>
      <c r="T26" s="222">
        <f t="shared" si="5"/>
        <v>26</v>
      </c>
      <c r="U26" s="234">
        <f t="shared" si="6"/>
        <v>2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CINRIP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174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83</v>
      </c>
      <c r="B27" s="229">
        <v>0.07000000000000002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Cratoneuron commutatum</v>
      </c>
      <c r="E27" s="231" t="e">
        <f>IF(D27="",,VLOOKUP(D27,D$22:D26,1,0))</f>
        <v>#N/A</v>
      </c>
      <c r="F27" s="232">
        <f t="shared" si="1"/>
        <v>0.06400000000000002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Cratoneuron commutatum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1232</v>
      </c>
      <c r="Q27" s="221">
        <f t="shared" si="2"/>
        <v>0.06400000000000002</v>
      </c>
      <c r="R27" s="222">
        <f t="shared" si="3"/>
        <v>1</v>
      </c>
      <c r="S27" s="222">
        <f t="shared" si="4"/>
        <v>15</v>
      </c>
      <c r="T27" s="222">
        <f t="shared" si="5"/>
        <v>30</v>
      </c>
      <c r="U27" s="234">
        <f t="shared" si="6"/>
        <v>2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CRACOM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16</v>
      </c>
      <c r="B28" s="229">
        <v>25</v>
      </c>
      <c r="C28" s="230">
        <v>10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1"/>
        <v>23.5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2"/>
        <v>23.5</v>
      </c>
      <c r="R28" s="222">
        <f t="shared" si="3"/>
        <v>4</v>
      </c>
      <c r="S28" s="222">
        <f t="shared" si="4"/>
        <v>40</v>
      </c>
      <c r="T28" s="222">
        <f t="shared" si="5"/>
        <v>40</v>
      </c>
      <c r="U28" s="234">
        <f t="shared" si="6"/>
        <v>4</v>
      </c>
      <c r="V28" s="223">
        <f t="shared" si="7"/>
      </c>
      <c r="W28" s="224" t="s">
        <v>55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1"/>
        <v>0.009000000000000001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2"/>
        <v>0.009000000000000001</v>
      </c>
      <c r="R29" s="222">
        <f t="shared" si="3"/>
        <v>1</v>
      </c>
      <c r="S29" s="222">
        <f t="shared" si="4"/>
        <v>12</v>
      </c>
      <c r="T29" s="222">
        <f t="shared" si="5"/>
        <v>12</v>
      </c>
      <c r="U29" s="234">
        <f t="shared" si="6"/>
        <v>1</v>
      </c>
      <c r="V29" s="223">
        <f t="shared" si="7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29">
        <v>1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Groenlandia densa</v>
      </c>
      <c r="E30" s="231" t="e">
        <f>IF(D30="",,VLOOKUP(D30,D$22:D29,1,0))</f>
        <v>#N/A</v>
      </c>
      <c r="F30" s="232">
        <f t="shared" si="1"/>
        <v>0.9009999999999999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11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Groenlandia densa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1638</v>
      </c>
      <c r="Q30" s="221">
        <f t="shared" si="2"/>
        <v>0.901</v>
      </c>
      <c r="R30" s="222">
        <f t="shared" si="3"/>
        <v>2</v>
      </c>
      <c r="S30" s="222">
        <f t="shared" si="4"/>
        <v>22</v>
      </c>
      <c r="T30" s="222">
        <f t="shared" si="5"/>
        <v>44</v>
      </c>
      <c r="U30" s="234">
        <f t="shared" si="6"/>
        <v>4</v>
      </c>
      <c r="V30" s="223">
        <f t="shared" si="7"/>
      </c>
      <c r="W30" s="224" t="s">
        <v>55</v>
      </c>
      <c r="Y30" s="225" t="str">
        <f>IF(A30="new.cod","NEWCOD",IF(AND((Z30=""),ISTEXT(A30)),A30,IF(Z30="","",INDEX('[1]liste reference'!$A$8:$A$904,Z30))))</f>
        <v>GRODEN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345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86</v>
      </c>
      <c r="B31" s="229">
        <v>5</v>
      </c>
      <c r="C31" s="230">
        <v>0.20000000000000004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Ranunculus penicillatus subsp. pseudofluitans</v>
      </c>
      <c r="E31" s="231" t="e">
        <f>IF(D31="",,VLOOKUP(D31,D$22:D30,1,0))</f>
        <v>#N/A</v>
      </c>
      <c r="F31" s="232">
        <f t="shared" si="1"/>
        <v>4.52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Ranunculus penicillatus subsp. pseudofluitans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19974</v>
      </c>
      <c r="Q31" s="221">
        <f t="shared" si="2"/>
        <v>4.52</v>
      </c>
      <c r="R31" s="222">
        <f t="shared" si="3"/>
        <v>3</v>
      </c>
      <c r="S31" s="222">
        <f t="shared" si="4"/>
        <v>36</v>
      </c>
      <c r="T31" s="222">
        <f t="shared" si="5"/>
        <v>72</v>
      </c>
      <c r="U31" s="234">
        <f t="shared" si="6"/>
        <v>6</v>
      </c>
      <c r="V31" s="223">
        <f t="shared" si="7"/>
      </c>
      <c r="W31" s="224" t="s">
        <v>55</v>
      </c>
      <c r="Y31" s="225" t="str">
        <f>IF(A31="new.cod","NEWCOD",IF(AND((Z31=""),ISTEXT(A31)),A31,IF(Z31="","",INDEX('[1]liste reference'!$A$8:$A$904,Z31))))</f>
        <v>RANPES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464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87</v>
      </c>
      <c r="B32" s="229">
        <v>0.05</v>
      </c>
      <c r="C32" s="230">
        <v>5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Berula erecta</v>
      </c>
      <c r="E32" s="231" t="e">
        <f>IF(D32="",,VLOOKUP(D32,D$22:D31,1,0))</f>
        <v>#N/A</v>
      </c>
      <c r="F32" s="232">
        <f t="shared" si="1"/>
        <v>0.545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14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Berula erecta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1977</v>
      </c>
      <c r="Q32" s="221">
        <f t="shared" si="2"/>
        <v>0.545</v>
      </c>
      <c r="R32" s="222">
        <f t="shared" si="3"/>
        <v>2</v>
      </c>
      <c r="S32" s="222">
        <f t="shared" si="4"/>
        <v>28</v>
      </c>
      <c r="T32" s="222">
        <f t="shared" si="5"/>
        <v>56</v>
      </c>
      <c r="U32" s="234">
        <f t="shared" si="6"/>
        <v>4</v>
      </c>
      <c r="V32" s="223">
        <f t="shared" si="7"/>
      </c>
      <c r="W32" s="224" t="s">
        <v>55</v>
      </c>
      <c r="Y32" s="225" t="str">
        <f>IF(A32="new.cod","NEWCOD",IF(AND((Z32=""),ISTEXT(A32)),A32,IF(Z32="","",INDEX('[1]liste reference'!$A$8:$A$904,Z32))))</f>
        <v>BERERE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527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88</v>
      </c>
      <c r="B33" s="229">
        <v>0</v>
      </c>
      <c r="C33" s="230">
        <v>0.10000000000000002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Caltha palustris</v>
      </c>
      <c r="E33" s="231" t="e">
        <f>IF(D33="",,VLOOKUP(D33,D$22:D32,1,0))</f>
        <v>#N/A</v>
      </c>
      <c r="F33" s="232">
        <f t="shared" si="1"/>
        <v>0.010000000000000002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Caltha palustris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1893</v>
      </c>
      <c r="Q33" s="221">
        <f t="shared" si="2"/>
        <v>0.010000000000000002</v>
      </c>
      <c r="R33" s="222">
        <f t="shared" si="3"/>
        <v>1</v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55</v>
      </c>
      <c r="Y33" s="225" t="str">
        <f>IF(A33="new.cod","NEWCOD",IF(AND((Z33=""),ISTEXT(A33)),A33,IF(Z33="","",INDEX('[1]liste reference'!$A$8:$A$904,Z33))))</f>
        <v>CAHPAL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534</v>
      </c>
      <c r="AA33" s="226"/>
      <c r="AB33" s="227"/>
      <c r="AC33" s="227"/>
      <c r="BB33" s="8">
        <f t="shared" si="8"/>
        <v>1</v>
      </c>
    </row>
    <row r="34" spans="1:54" ht="12.75">
      <c r="A34" s="228" t="s">
        <v>89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Carex acutiformis</v>
      </c>
      <c r="E34" s="231" t="e">
        <f>IF(D34="",,VLOOKUP(D34,D$22:D33,1,0))</f>
        <v>#N/A</v>
      </c>
      <c r="F34" s="236">
        <f t="shared" si="1"/>
        <v>0.001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Carex acutiformis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1468</v>
      </c>
      <c r="Q34" s="221">
        <f t="shared" si="2"/>
        <v>0.001</v>
      </c>
      <c r="R34" s="222">
        <f t="shared" si="3"/>
        <v>1</v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 t="str">
        <f>IF(A34="new.cod","NEWCOD",IF(AND((Z34=""),ISTEXT(A34)),A34,IF(Z34="","",INDEX('[1]liste reference'!$A$8:$A$904,Z34))))</f>
        <v>CARACT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537</v>
      </c>
      <c r="AA34" s="226"/>
      <c r="AB34" s="227"/>
      <c r="AC34" s="227"/>
      <c r="BB34" s="8">
        <f t="shared" si="8"/>
        <v>1</v>
      </c>
    </row>
    <row r="35" spans="1:54" ht="12.75">
      <c r="A35" s="228" t="s">
        <v>90</v>
      </c>
      <c r="B35" s="229">
        <v>0.5</v>
      </c>
      <c r="C35" s="230">
        <v>3.2000000000000006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Glyceria fluitans</v>
      </c>
      <c r="E35" s="231" t="e">
        <f>IF(D35="",,VLOOKUP(D35,D$22:D34,1,0))</f>
        <v>#N/A</v>
      </c>
      <c r="F35" s="236">
        <f t="shared" si="1"/>
        <v>0.77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14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Glyceria fluitans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1564</v>
      </c>
      <c r="Q35" s="221">
        <f t="shared" si="2"/>
        <v>0.77</v>
      </c>
      <c r="R35" s="222">
        <f t="shared" si="3"/>
        <v>2</v>
      </c>
      <c r="S35" s="222">
        <f t="shared" si="4"/>
        <v>28</v>
      </c>
      <c r="T35" s="222">
        <f t="shared" si="5"/>
        <v>56</v>
      </c>
      <c r="U35" s="234">
        <f t="shared" si="6"/>
        <v>4</v>
      </c>
      <c r="V35" s="223">
        <f t="shared" si="7"/>
      </c>
      <c r="W35" s="224" t="s">
        <v>55</v>
      </c>
      <c r="Y35" s="225" t="str">
        <f>IF(A35="new.cod","NEWCOD",IF(AND((Z35=""),ISTEXT(A35)),A35,IF(Z35="","",INDEX('[1]liste reference'!$A$8:$A$904,Z35))))</f>
        <v>GLYFLU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575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91</v>
      </c>
      <c r="B36" s="229">
        <v>0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Juncus sp.</v>
      </c>
      <c r="E36" s="231" t="e">
        <f>IF(D36="",,VLOOKUP(D36,D$22:D35,1,0))</f>
        <v>#N/A</v>
      </c>
      <c r="F36" s="236">
        <f t="shared" si="1"/>
        <v>0.001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Juncus sp.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1606</v>
      </c>
      <c r="Q36" s="221">
        <f t="shared" si="2"/>
        <v>0.001</v>
      </c>
      <c r="R36" s="222">
        <f t="shared" si="3"/>
        <v>1</v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55</v>
      </c>
      <c r="Y36" s="225" t="str">
        <f>IF(A36="new.cod","NEWCOD",IF(AND((Z36=""),ISTEXT(A36)),A36,IF(Z36="","",INDEX('[1]liste reference'!$A$8:$A$904,Z36))))</f>
        <v>JUNSPX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590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92</v>
      </c>
      <c r="B37" s="229">
        <v>0</v>
      </c>
      <c r="C37" s="230">
        <v>0.05000000000000001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Lythrum salicaria</v>
      </c>
      <c r="E37" s="231" t="e">
        <f>IF(D37="",,VLOOKUP(D37,D$22:D36,1,0))</f>
        <v>#N/A</v>
      </c>
      <c r="F37" s="236">
        <f t="shared" si="1"/>
        <v>0.005000000000000001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Lythrum salicaria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1823</v>
      </c>
      <c r="Q37" s="221">
        <f t="shared" si="2"/>
        <v>0.005000000000000001</v>
      </c>
      <c r="R37" s="222">
        <f t="shared" si="3"/>
        <v>1</v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55</v>
      </c>
      <c r="Y37" s="225" t="str">
        <f>IF(A37="new.cod","NEWCOD",IF(AND((Z37=""),ISTEXT(A37)),A37,IF(Z37="","",INDEX('[1]liste reference'!$A$8:$A$904,Z37))))</f>
        <v>LYTSAL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605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93</v>
      </c>
      <c r="B38" s="229">
        <v>0</v>
      </c>
      <c r="C38" s="230">
        <v>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Mentha longifolia</v>
      </c>
      <c r="E38" s="231" t="e">
        <f>IF(D38="",,VLOOKUP(D38,D$22:D37,1,0))</f>
        <v>#N/A</v>
      </c>
      <c r="F38" s="236">
        <f t="shared" si="1"/>
        <v>0.1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Mentha longifolia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19856</v>
      </c>
      <c r="Q38" s="221">
        <f t="shared" si="2"/>
        <v>0.1</v>
      </c>
      <c r="R38" s="222">
        <f t="shared" si="3"/>
        <v>2</v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55</v>
      </c>
      <c r="Y38" s="225" t="str">
        <f>IF(A38="new.cod","NEWCOD",IF(AND((Z38=""),ISTEXT(A38)),A38,IF(Z38="","",INDEX('[1]liste reference'!$A$8:$A$904,Z38))))</f>
        <v>MENLON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609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94</v>
      </c>
      <c r="B39" s="229">
        <v>0</v>
      </c>
      <c r="C39" s="230">
        <v>5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Scirpus sylvaticus</v>
      </c>
      <c r="E39" s="231" t="e">
        <f>IF(D39="",,VLOOKUP(D39,D$22:D38,1,0))</f>
        <v>#N/A</v>
      </c>
      <c r="F39" s="236">
        <f t="shared" si="1"/>
        <v>0.5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10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Scirpus sylvaticus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1525</v>
      </c>
      <c r="Q39" s="221">
        <f t="shared" si="2"/>
        <v>0.5</v>
      </c>
      <c r="R39" s="222">
        <f t="shared" si="3"/>
        <v>2</v>
      </c>
      <c r="S39" s="222">
        <f t="shared" si="4"/>
        <v>20</v>
      </c>
      <c r="T39" s="222">
        <f t="shared" si="5"/>
        <v>40</v>
      </c>
      <c r="U39" s="234">
        <f t="shared" si="6"/>
        <v>4</v>
      </c>
      <c r="V39" s="223">
        <f t="shared" si="7"/>
      </c>
      <c r="W39" s="224" t="s">
        <v>55</v>
      </c>
      <c r="Y39" s="225" t="str">
        <f>IF(A39="new.cod","NEWCOD",IF(AND((Z39=""),ISTEXT(A39)),A39,IF(Z39="","",INDEX('[1]liste reference'!$A$8:$A$904,Z39))))</f>
        <v>SCISYL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665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95</v>
      </c>
      <c r="B40" s="229">
        <v>0</v>
      </c>
      <c r="C40" s="230">
        <v>0.10000000000000002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Sparganium erectum</v>
      </c>
      <c r="E40" s="231" t="e">
        <f>IF(D40="",,VLOOKUP(D40,D$22:D39,1,0))</f>
        <v>#N/A</v>
      </c>
      <c r="F40" s="236">
        <f t="shared" si="1"/>
        <v>0.010000000000000002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Sparganium erectum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1671</v>
      </c>
      <c r="Q40" s="221">
        <f t="shared" si="2"/>
        <v>0.010000000000000002</v>
      </c>
      <c r="R40" s="222">
        <f t="shared" si="3"/>
        <v>1</v>
      </c>
      <c r="S40" s="222">
        <f t="shared" si="4"/>
        <v>10</v>
      </c>
      <c r="T40" s="222">
        <f t="shared" si="5"/>
        <v>10</v>
      </c>
      <c r="U40" s="234">
        <f t="shared" si="6"/>
        <v>1</v>
      </c>
      <c r="V40" s="223">
        <f t="shared" si="7"/>
      </c>
      <c r="W40" s="224" t="s">
        <v>55</v>
      </c>
      <c r="Y40" s="225" t="str">
        <f>IF(A40="new.cod","NEWCOD",IF(AND((Z40=""),ISTEXT(A40)),A40,IF(Z40="","",INDEX('[1]liste reference'!$A$8:$A$904,Z40))))</f>
        <v>SPAERE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668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96</v>
      </c>
      <c r="B41" s="229">
        <v>1</v>
      </c>
      <c r="C41" s="230">
        <v>0.10000000000000002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Veronica anagallis-aquatica</v>
      </c>
      <c r="E41" s="231" t="e">
        <f>IF(D41="",,VLOOKUP(D41,D$22:D40,1,0))</f>
        <v>#N/A</v>
      </c>
      <c r="F41" s="236">
        <f t="shared" si="1"/>
        <v>0.91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11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2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Veronica anagallis-aquatica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1955</v>
      </c>
      <c r="Q41" s="221">
        <f t="shared" si="2"/>
        <v>0.91</v>
      </c>
      <c r="R41" s="222">
        <f t="shared" si="3"/>
        <v>2</v>
      </c>
      <c r="S41" s="222">
        <f t="shared" si="4"/>
        <v>22</v>
      </c>
      <c r="T41" s="222">
        <f t="shared" si="5"/>
        <v>44</v>
      </c>
      <c r="U41" s="234">
        <f t="shared" si="6"/>
        <v>4</v>
      </c>
      <c r="V41" s="223">
        <f t="shared" si="7"/>
      </c>
      <c r="W41" s="224" t="s">
        <v>55</v>
      </c>
      <c r="Y41" s="225" t="str">
        <f>IF(A41="new.cod","NEWCOD",IF(AND((Z41=""),ISTEXT(A41)),A41,IF(Z41="","",INDEX('[1]liste reference'!$A$8:$A$904,Z41))))</f>
        <v>VERANA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682</v>
      </c>
      <c r="AA41" s="226"/>
      <c r="AB41" s="227"/>
      <c r="AC41" s="227"/>
      <c r="BB41" s="8">
        <f t="shared" si="8"/>
        <v>1</v>
      </c>
    </row>
    <row r="42" spans="1:54" ht="12.75">
      <c r="A42" s="228" t="s">
        <v>97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Filipendula ulmaria</v>
      </c>
      <c r="E42" s="231" t="e">
        <f>IF(D42="",,VLOOKUP(D42,D$22:D41,1,0))</f>
        <v>#N/A</v>
      </c>
      <c r="F42" s="236">
        <f t="shared" si="1"/>
        <v>0.001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PHg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9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Filipendula ulmaria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1919</v>
      </c>
      <c r="Q42" s="221">
        <f t="shared" si="2"/>
        <v>0.001</v>
      </c>
      <c r="R42" s="222">
        <f t="shared" si="3"/>
        <v>1</v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 t="str">
        <f>IF(A42="new.cod","NEWCOD",IF(AND((Z42=""),ISTEXT(A42)),A42,IF(Z42="","",INDEX('[1]liste reference'!$A$8:$A$904,Z42))))</f>
        <v>FILULM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751</v>
      </c>
      <c r="AA42" s="226"/>
      <c r="AB42" s="227"/>
      <c r="AC42" s="227"/>
      <c r="BB42" s="8">
        <f t="shared" si="8"/>
        <v>1</v>
      </c>
    </row>
    <row r="43" spans="1:54" ht="12.75">
      <c r="A43" s="228" t="s">
        <v>98</v>
      </c>
      <c r="B43" s="229">
        <v>0</v>
      </c>
      <c r="C43" s="230">
        <v>0.01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Scrophularia sp.</v>
      </c>
      <c r="E43" s="231" t="e">
        <f>IF(D43="",,VLOOKUP(D43,D$22:D42,1,0))</f>
        <v>#N/A</v>
      </c>
      <c r="F43" s="236">
        <f t="shared" si="1"/>
        <v>0.001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PHg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9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Scrophularia sp.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1949</v>
      </c>
      <c r="Q43" s="221">
        <f t="shared" si="2"/>
        <v>0.001</v>
      </c>
      <c r="R43" s="222">
        <f t="shared" si="3"/>
        <v>1</v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 t="str">
        <f>IF(A43="new.cod","NEWCOD",IF(AND((Z43=""),ISTEXT(A43)),A43,IF(Z43="","",INDEX('[1]liste reference'!$A$8:$A$904,Z43))))</f>
        <v>SCRSPX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817</v>
      </c>
      <c r="AA43" s="226"/>
      <c r="AB43" s="227"/>
      <c r="AC43" s="227"/>
      <c r="BB43" s="8">
        <f t="shared" si="8"/>
        <v>1</v>
      </c>
    </row>
    <row r="44" spans="1:54" ht="12.75">
      <c r="A44" s="228" t="s">
        <v>99</v>
      </c>
      <c r="B44" s="229">
        <v>0</v>
      </c>
      <c r="C44" s="230">
        <v>0.01</v>
      </c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0.001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    -</v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Salix fragilis</v>
      </c>
      <c r="L44" s="233"/>
      <c r="M44" s="233"/>
      <c r="N44" s="233"/>
      <c r="O44" s="220"/>
      <c r="P44" s="220" t="str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No</v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 t="str">
        <f>IF(A44="new.cod","NEWCOD",IF(AND((Z44=""),ISTEXT(A44)),A44,IF(Z44="","",INDEX('[1]liste reference'!$A$8:$A$904,Z44))))</f>
        <v>newcod</v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 t="s">
        <v>100</v>
      </c>
      <c r="AC44" s="227"/>
      <c r="BB44" s="8">
        <f t="shared" si="8"/>
        <v>1</v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101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BOURNE</v>
      </c>
      <c r="B84" s="265" t="str">
        <f>C3</f>
        <v>BOURNE A VILLARD DE LANS</v>
      </c>
      <c r="C84" s="266">
        <f>A4</f>
        <v>41465</v>
      </c>
      <c r="D84" s="267">
        <f>IF(ISERROR(SUM($T$23:$T$82)/SUM($U$23:$U$82)),"",SUM($T$23:$T$82)/SUM($U$23:$U$82))</f>
        <v>11.818181818181818</v>
      </c>
      <c r="E84" s="268">
        <f>N13</f>
        <v>22</v>
      </c>
      <c r="F84" s="265">
        <f>N14</f>
        <v>14</v>
      </c>
      <c r="G84" s="265">
        <f>N15</f>
        <v>5</v>
      </c>
      <c r="H84" s="265">
        <f>N16</f>
        <v>9</v>
      </c>
      <c r="I84" s="265">
        <f>N17</f>
        <v>0</v>
      </c>
      <c r="J84" s="269">
        <f>N8</f>
        <v>11.5</v>
      </c>
      <c r="K84" s="267">
        <f>N9</f>
        <v>2.8970428272390354</v>
      </c>
      <c r="L84" s="268">
        <f>N10</f>
        <v>4</v>
      </c>
      <c r="M84" s="268">
        <f>N11</f>
        <v>16</v>
      </c>
      <c r="N84" s="267">
        <f>O8</f>
        <v>1.6428571428571428</v>
      </c>
      <c r="O84" s="267">
        <f>O9</f>
        <v>0.47915742374995496</v>
      </c>
      <c r="P84" s="268">
        <f>O10</f>
        <v>1</v>
      </c>
      <c r="Q84" s="268">
        <f>O11</f>
        <v>2</v>
      </c>
      <c r="R84" s="268">
        <f>F21</f>
        <v>32.71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14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102</v>
      </c>
      <c r="R86" s="8"/>
      <c r="S86" s="223"/>
      <c r="T86" s="8"/>
      <c r="U86" s="8"/>
      <c r="V86" s="8"/>
    </row>
    <row r="87" spans="16:22" ht="12.75" hidden="1">
      <c r="P87" s="8"/>
      <c r="Q87" s="8" t="s">
        <v>103</v>
      </c>
      <c r="R87" s="8"/>
      <c r="S87" s="22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104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105</v>
      </c>
      <c r="R89" s="8"/>
      <c r="S89" s="223">
        <f>VLOOKUP((S87),($S$23:$U$82),3,0)</f>
        <v>4</v>
      </c>
      <c r="T89" s="8"/>
    </row>
    <row r="90" spans="17:20" ht="12.75">
      <c r="Q90" s="8" t="s">
        <v>106</v>
      </c>
      <c r="R90" s="8"/>
      <c r="S90" s="274">
        <f>IF(ISERROR(SUM($T$23:$T$82)/SUM($U$23:$U$82)),"",(SUM($T$23:$T$82)-S88)/(SUM($U$23:$U$82)-S89))</f>
        <v>12</v>
      </c>
      <c r="T90" s="8"/>
    </row>
    <row r="91" spans="17:21" ht="12.75">
      <c r="Q91" s="222" t="s">
        <v>107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108</v>
      </c>
      <c r="R92" s="8"/>
      <c r="S92" s="8">
        <f>MATCH(S87,$S$23:$S$82,0)</f>
        <v>6</v>
      </c>
      <c r="T92" s="8"/>
    </row>
    <row r="93" spans="17:20" ht="12.75">
      <c r="Q93" s="222" t="s">
        <v>109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2014-02-28T16:46:47Z</dcterms:created>
  <dcterms:modified xsi:type="dcterms:W3CDTF">2014-02-28T16:46:57Z</dcterms:modified>
  <cp:category/>
  <cp:version/>
  <cp:contentType/>
  <cp:contentStatus/>
</cp:coreProperties>
</file>