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<sst xmlns="http://schemas.openxmlformats.org/spreadsheetml/2006/main" count="217" uniqueCount="110">
  <si>
    <t>Relevés floristiques aquatiques - IBMR</t>
  </si>
  <si>
    <t>modèle Irstea-GIS</t>
  </si>
  <si>
    <t>SAGE</t>
  </si>
  <si>
    <t>P.Belly S.Renahy</t>
  </si>
  <si>
    <t>Bourne</t>
  </si>
  <si>
    <t>Bourne à Choranche</t>
  </si>
  <si>
    <t>06147525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</si>
  <si>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</si>
  <si>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</si>
  <si>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</si>
  <si>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</si>
  <si>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</si>
  <si>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</si>
  <si>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</si>
  <si>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</si>
  <si>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</si>
  <si>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FONANT</t>
  </si>
  <si>
    <t>Faciès dominant</t>
  </si>
  <si>
    <t>pl. courant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</si>
  <si>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</si>
  <si>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</si>
  <si>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</si>
  <si>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</si>
  <si>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</si>
  <si>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</si>
  <si>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</si>
  <si>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</si>
  <si>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</si>
  <si>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</si>
  <si>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</si>
  <si>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</si>
  <si>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</si>
  <si>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</si>
  <si>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</si>
  <si>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</si>
  <si>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</si>
  <si>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</si>
  <si>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</si>
  <si>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</si>
  <si>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</si>
  <si>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</si>
  <si>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</si>
  <si>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</si>
  <si>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</si>
  <si>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</si>
  <si>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</si>
  <si>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</si>
  <si>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</si>
  <si>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</si>
  <si>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</si>
  <si>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</si>
  <si>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</si>
  <si>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</si>
  <si>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</si>
  <si>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</si>
  <si>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</si>
  <si>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</si>
  <si>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</si>
  <si>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</si>
  <si>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</si>
  <si>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</si>
  <si>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</si>
  <si>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</si>
  <si>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</si>
  <si>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</si>
  <si>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</si>
  <si>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</si>
  <si>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</si>
  <si>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</si>
  <si>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</si>
  <si>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</si>
  <si>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</si>
  <si>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</si>
  <si>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</si>
  <si>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</si>
  <si>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</si>
  <si>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</si>
  <si>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</si>
  <si>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</si>
  <si>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</si>
  <si>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</si>
  <si>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</si>
  <si>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DRASPX</t>
  </si>
  <si>
    <t>MELSPX</t>
  </si>
  <si>
    <t>MOOSPX</t>
  </si>
  <si>
    <t>NOSSPX</t>
  </si>
  <si>
    <t>TETSPX</t>
  </si>
  <si>
    <t>ULOSPX</t>
  </si>
  <si>
    <t>CINFON</t>
  </si>
  <si>
    <t>CINRIP</t>
  </si>
  <si>
    <t>PALCOM</t>
  </si>
  <si>
    <t>RHYRIP</t>
  </si>
  <si>
    <t>GRODEN</t>
  </si>
  <si>
    <t>SPAEME</t>
  </si>
  <si>
    <t>BERERE</t>
  </si>
  <si>
    <t>CAHPAL</t>
  </si>
  <si>
    <t>GLYFLU</t>
  </si>
  <si>
    <t>MENLON</t>
  </si>
  <si>
    <t>VERANA</t>
  </si>
  <si>
    <t>EPIHIR</t>
  </si>
  <si>
    <t>FILULM</t>
  </si>
  <si>
    <t>CARSPX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</si>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</sst>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VIL_09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18" sqref="C18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12.125</v>
      </c>
      <c r="N5" s="50"/>
      <c r="O5" s="51" t="s">
        <v>16</v>
      </c>
      <c r="P5" s="52">
        <v>12.428571428571429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70</v>
      </c>
      <c r="C7" s="68">
        <v>30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11.588235294117647</v>
      </c>
      <c r="P8" s="85">
        <f>IF(ISERROR(AVERAGE(K23:K82)),"  ",AVERAGE(K23:K82))</f>
        <v>1.588235294117647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22.35</v>
      </c>
      <c r="C9" s="88">
        <v>20.09</v>
      </c>
      <c r="D9" s="89"/>
      <c r="E9" s="89"/>
      <c r="F9" s="90">
        <f>($B9*$B$7+$C9*$C$7)/100</f>
        <v>21.671999999999997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2.829650228424869</v>
      </c>
      <c r="P9" s="85">
        <f>IF(ISERROR(STDEVP(K23:K82)),"  ",STDEVP(K23:K82))</f>
        <v>0.5998846486579748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18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0.18</v>
      </c>
      <c r="C12" s="114">
        <v>0.03</v>
      </c>
      <c r="D12" s="89"/>
      <c r="E12" s="89"/>
      <c r="F12" s="106">
        <f>($B12*$B$7+$C12*$C$7)/100</f>
        <v>0.135</v>
      </c>
      <c r="G12" s="107"/>
      <c r="H12" s="56"/>
      <c r="I12" s="5"/>
      <c r="J12" s="108" t="s">
        <v>38</v>
      </c>
      <c r="K12" s="109"/>
      <c r="L12" s="110">
        <f>COUNTIF($G$23:$G$82,"=ALG")</f>
        <v>7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21.14</v>
      </c>
      <c r="C13" s="114">
        <v>20</v>
      </c>
      <c r="D13" s="89"/>
      <c r="E13" s="89"/>
      <c r="F13" s="106">
        <f>($B13*$B$7+$C13*$C$7)/100</f>
        <v>20.798000000000002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5</v>
      </c>
      <c r="M13" s="111"/>
      <c r="N13" s="120" t="s">
        <v>41</v>
      </c>
      <c r="O13" s="121">
        <f>COUNTIF(F23:F82,"&gt;0")</f>
        <v>22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17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1.03</v>
      </c>
      <c r="C15" s="128">
        <v>0.06</v>
      </c>
      <c r="D15" s="89"/>
      <c r="E15" s="89"/>
      <c r="F15" s="106">
        <f>($B15*$B$7+$C15*$C$7)/100</f>
        <v>0.7390000000000001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10</v>
      </c>
      <c r="M15" s="111"/>
      <c r="N15" s="120" t="s">
        <v>47</v>
      </c>
      <c r="O15" s="121">
        <f>COUNTIF(K23:K82,"=1")</f>
        <v>8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8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22.32</v>
      </c>
      <c r="C17" s="114">
        <v>20.03</v>
      </c>
      <c r="D17" s="89"/>
      <c r="E17" s="89"/>
      <c r="F17" s="133"/>
      <c r="G17" s="134">
        <f>($B17*$B$7+$C17*$C$7)/100</f>
        <v>21.633000000000003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0.7727272727272727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0.03</v>
      </c>
      <c r="C18" s="143">
        <v>0.06</v>
      </c>
      <c r="D18" s="89"/>
      <c r="E18" s="144" t="s">
        <v>54</v>
      </c>
      <c r="F18" s="133"/>
      <c r="G18" s="134">
        <f>($B18*$B$7+$C18*$C$7)/100</f>
        <v>0.039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21.672000000000004</v>
      </c>
      <c r="G19" s="157">
        <f>SUM(G16:G18)</f>
        <v>21.672000000000004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22.350000000000005</v>
      </c>
      <c r="C20" s="167">
        <f>SUM(C23:C62)</f>
        <v>20.09000000000001</v>
      </c>
      <c r="D20" s="168"/>
      <c r="E20" s="169" t="s">
        <v>54</v>
      </c>
      <c r="F20" s="170">
        <f>($B20*$B$7+$C20*$C$7)/100</f>
        <v>21.672000000000008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15.645000000000005</v>
      </c>
      <c r="C21" s="178">
        <f>C20*C7/100</f>
        <v>6.027000000000003</v>
      </c>
      <c r="D21" s="179" t="s">
        <v>58</v>
      </c>
      <c r="E21" s="180"/>
      <c r="F21" s="181">
        <f>B21+C21</f>
        <v>21.672000000000008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0.007000000000000001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0.007000000000000001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Draparnaldia sp.</v>
      </c>
      <c r="E24" s="228" t="e">
        <f>IF(D24="",,VLOOKUP(D24,D$22:D23,1,0))</f>
        <v>#N/A</v>
      </c>
      <c r="F24" s="229">
        <f t="shared" si="0"/>
        <v>0.003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18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3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Draparnaldia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1118</v>
      </c>
      <c r="R24" s="219">
        <f t="shared" si="2"/>
        <v>0.003</v>
      </c>
      <c r="S24" s="220">
        <f t="shared" si="3"/>
        <v>1</v>
      </c>
      <c r="T24" s="220">
        <f t="shared" si="4"/>
        <v>18</v>
      </c>
      <c r="U24" s="220">
        <f t="shared" si="5"/>
        <v>54</v>
      </c>
      <c r="V24" s="236">
        <f t="shared" si="6"/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DRASPX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42</v>
      </c>
    </row>
    <row r="25" spans="1:26" ht="12.75">
      <c r="A25" s="224" t="s">
        <v>83</v>
      </c>
      <c r="B25" s="225">
        <v>0.02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 t="shared" si="0"/>
        <v>0.017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 t="shared" si="2"/>
        <v>0.017</v>
      </c>
      <c r="S25" s="220">
        <f t="shared" si="3"/>
        <v>1</v>
      </c>
      <c r="T25" s="220">
        <f t="shared" si="4"/>
        <v>10</v>
      </c>
      <c r="U25" s="220">
        <f t="shared" si="5"/>
        <v>10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84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Monostroma sp.</v>
      </c>
      <c r="E26" s="228" t="e">
        <f>IF(D26="",,VLOOKUP(D26,D$22:D25,1,0))</f>
        <v>#N/A</v>
      </c>
      <c r="F26" s="229">
        <f t="shared" si="0"/>
        <v>0.007000000000000001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Monostroma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6010</v>
      </c>
      <c r="R26" s="219">
        <f t="shared" si="2"/>
        <v>0.007000000000000001</v>
      </c>
      <c r="S26" s="220">
        <f t="shared" si="3"/>
        <v>1</v>
      </c>
      <c r="T26" s="220">
        <f t="shared" si="4"/>
        <v>13</v>
      </c>
      <c r="U26" s="220">
        <f t="shared" si="5"/>
        <v>26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MOOSPX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67</v>
      </c>
    </row>
    <row r="27" spans="1:26" ht="12.75">
      <c r="A27" s="224" t="s">
        <v>85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Nostoc sp.</v>
      </c>
      <c r="E27" s="228" t="e">
        <f>IF(D27="",,VLOOKUP(D27,D$22:D26,1,0))</f>
        <v>#N/A</v>
      </c>
      <c r="F27" s="229">
        <f t="shared" si="0"/>
        <v>0.003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9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Nostoc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1105</v>
      </c>
      <c r="R27" s="219">
        <f t="shared" si="2"/>
        <v>0.003</v>
      </c>
      <c r="S27" s="220">
        <f t="shared" si="3"/>
        <v>1</v>
      </c>
      <c r="T27" s="220">
        <f t="shared" si="4"/>
        <v>9</v>
      </c>
      <c r="U27" s="220">
        <f t="shared" si="5"/>
        <v>9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NOSSPX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84</v>
      </c>
    </row>
    <row r="28" spans="1:26" ht="12.75">
      <c r="A28" s="224" t="s">
        <v>86</v>
      </c>
      <c r="B28" s="225">
        <v>0.02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Tetraspora sp.</v>
      </c>
      <c r="E28" s="228" t="e">
        <f>IF(D28="",,VLOOKUP(D28,D$22:D27,1,0))</f>
        <v>#N/A</v>
      </c>
      <c r="F28" s="229">
        <f t="shared" si="0"/>
        <v>0.014000000000000002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Tetraspora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1138</v>
      </c>
      <c r="R28" s="219">
        <f t="shared" si="2"/>
        <v>0.014000000000000002</v>
      </c>
      <c r="S28" s="220">
        <f t="shared" si="3"/>
        <v>1</v>
      </c>
      <c r="T28" s="220">
        <f t="shared" si="4"/>
        <v>12</v>
      </c>
      <c r="U28" s="220">
        <f t="shared" si="5"/>
        <v>12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TETSPX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107</v>
      </c>
    </row>
    <row r="29" spans="1:26" ht="12.75">
      <c r="A29" s="224" t="s">
        <v>87</v>
      </c>
      <c r="B29" s="225">
        <v>0.12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Ulothrix sp.</v>
      </c>
      <c r="E29" s="228" t="e">
        <f>IF(D29="",,VLOOKUP(D29,D$22:D28,1,0))</f>
        <v>#N/A</v>
      </c>
      <c r="F29" s="229">
        <f t="shared" si="0"/>
        <v>0.084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Ulothrix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1142</v>
      </c>
      <c r="R29" s="219">
        <f t="shared" si="2"/>
        <v>0.084</v>
      </c>
      <c r="S29" s="220">
        <f t="shared" si="3"/>
        <v>1</v>
      </c>
      <c r="T29" s="220">
        <f t="shared" si="4"/>
        <v>10</v>
      </c>
      <c r="U29" s="220">
        <f t="shared" si="5"/>
        <v>10</v>
      </c>
      <c r="V29" s="236">
        <f t="shared" si="6"/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ULOSPX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116</v>
      </c>
    </row>
    <row r="30" spans="1:26" ht="12.75">
      <c r="A30" s="224" t="s">
        <v>88</v>
      </c>
      <c r="B30" s="225">
        <v>0.01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Cinclidotus fontinaloides</v>
      </c>
      <c r="E30" s="228" t="e">
        <f>IF(D30="",,VLOOKUP(D30,D$22:D29,1,0))</f>
        <v>#N/A</v>
      </c>
      <c r="F30" s="229">
        <f t="shared" si="0"/>
        <v>0.007000000000000001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Cinclidotus fontinaloides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1320</v>
      </c>
      <c r="R30" s="219">
        <f t="shared" si="2"/>
        <v>0.007000000000000001</v>
      </c>
      <c r="S30" s="220">
        <f t="shared" si="3"/>
        <v>1</v>
      </c>
      <c r="T30" s="220">
        <f t="shared" si="4"/>
        <v>12</v>
      </c>
      <c r="U30" s="220">
        <f t="shared" si="5"/>
        <v>24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CINFON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223</v>
      </c>
    </row>
    <row r="31" spans="1:26" ht="12.75">
      <c r="A31" s="224" t="s">
        <v>89</v>
      </c>
      <c r="B31" s="225">
        <v>0.01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Cinclidotus riparius</v>
      </c>
      <c r="E31" s="228" t="e">
        <f>IF(D31="",,VLOOKUP(D31,D$22:D30,1,0))</f>
        <v>#N/A</v>
      </c>
      <c r="F31" s="229">
        <f t="shared" si="0"/>
        <v>0.007000000000000001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13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Cinclidotus riparius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1321</v>
      </c>
      <c r="R31" s="219">
        <f t="shared" si="2"/>
        <v>0.007000000000000001</v>
      </c>
      <c r="S31" s="220">
        <f t="shared" si="3"/>
        <v>1</v>
      </c>
      <c r="T31" s="220">
        <f t="shared" si="4"/>
        <v>13</v>
      </c>
      <c r="U31" s="220">
        <f t="shared" si="5"/>
        <v>26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CINRIP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224</v>
      </c>
    </row>
    <row r="32" spans="1:26" ht="12.75">
      <c r="A32" s="224" t="s">
        <v>16</v>
      </c>
      <c r="B32" s="225">
        <v>21</v>
      </c>
      <c r="C32" s="226">
        <v>20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Fontinalis antipyretica</v>
      </c>
      <c r="E32" s="228" t="e">
        <f>IF(D32="",,VLOOKUP(D32,D$22:D31,1,0))</f>
        <v>#N/A</v>
      </c>
      <c r="F32" s="229">
        <f t="shared" si="0"/>
        <v>20.7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10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Fontinalis antipyretica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1310</v>
      </c>
      <c r="R32" s="219">
        <f t="shared" si="2"/>
        <v>20.7</v>
      </c>
      <c r="S32" s="220">
        <f t="shared" si="3"/>
        <v>4</v>
      </c>
      <c r="T32" s="220">
        <f t="shared" si="4"/>
        <v>40</v>
      </c>
      <c r="U32" s="220">
        <f t="shared" si="5"/>
        <v>40</v>
      </c>
      <c r="V32" s="236">
        <f t="shared" si="6"/>
        <v>4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FONANT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273</v>
      </c>
    </row>
    <row r="33" spans="1:26" ht="12.75">
      <c r="A33" s="224" t="s">
        <v>90</v>
      </c>
      <c r="B33" s="225">
        <v>0.01</v>
      </c>
      <c r="C33" s="226">
        <v>0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Palustriella commutata</v>
      </c>
      <c r="E33" s="228" t="e">
        <f>IF(D33="",,VLOOKUP(D33,D$22:D32,1,0))</f>
        <v>#N/A</v>
      </c>
      <c r="F33" s="229">
        <f t="shared" si="0"/>
        <v>0.007000000000000001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15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Palustriella commutata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19903</v>
      </c>
      <c r="R33" s="219">
        <f t="shared" si="2"/>
        <v>0.007000000000000001</v>
      </c>
      <c r="S33" s="220">
        <f t="shared" si="3"/>
        <v>1</v>
      </c>
      <c r="T33" s="220">
        <f t="shared" si="4"/>
        <v>15</v>
      </c>
      <c r="U33" s="220">
        <f t="shared" si="5"/>
        <v>30</v>
      </c>
      <c r="V33" s="236">
        <f t="shared" si="6"/>
        <v>2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PALCOM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309</v>
      </c>
    </row>
    <row r="34" spans="1:26" ht="12.75">
      <c r="A34" s="224" t="s">
        <v>91</v>
      </c>
      <c r="B34" s="225">
        <v>0.11</v>
      </c>
      <c r="C34" s="226">
        <v>0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Rhynchostegium riparioides</v>
      </c>
      <c r="E34" s="228" t="e">
        <f>IF(D34="",,VLOOKUP(D34,D$22:D33,1,0))</f>
        <v>#N/A</v>
      </c>
      <c r="F34" s="229">
        <f t="shared" si="0"/>
        <v>0.077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12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Rhynchostegium riparioides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31691</v>
      </c>
      <c r="R34" s="219">
        <f t="shared" si="2"/>
        <v>0.077</v>
      </c>
      <c r="S34" s="220">
        <f t="shared" si="3"/>
        <v>1</v>
      </c>
      <c r="T34" s="220">
        <f t="shared" si="4"/>
        <v>12</v>
      </c>
      <c r="U34" s="220">
        <f t="shared" si="5"/>
        <v>12</v>
      </c>
      <c r="V34" s="236">
        <f t="shared" si="6"/>
        <v>1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RHYRIP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345</v>
      </c>
    </row>
    <row r="35" spans="1:26" ht="12.75">
      <c r="A35" s="224" t="s">
        <v>92</v>
      </c>
      <c r="B35" s="225">
        <v>1</v>
      </c>
      <c r="C35" s="226">
        <v>0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Groenlandia densa</v>
      </c>
      <c r="E35" s="228" t="e">
        <f>IF(D35="",,VLOOKUP(D35,D$22:D34,1,0))</f>
        <v>#N/A</v>
      </c>
      <c r="F35" s="229">
        <f t="shared" si="0"/>
        <v>0.7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PHy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7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11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Groenlandia densa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1638</v>
      </c>
      <c r="R35" s="219">
        <f t="shared" si="2"/>
        <v>0.7</v>
      </c>
      <c r="S35" s="220">
        <f t="shared" si="3"/>
        <v>2</v>
      </c>
      <c r="T35" s="220">
        <f t="shared" si="4"/>
        <v>22</v>
      </c>
      <c r="U35" s="220">
        <f t="shared" si="5"/>
        <v>44</v>
      </c>
      <c r="V35" s="236">
        <f t="shared" si="6"/>
        <v>4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GRODEN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458</v>
      </c>
    </row>
    <row r="36" spans="1:26" ht="12.75">
      <c r="A36" s="224" t="s">
        <v>93</v>
      </c>
      <c r="B36" s="225">
        <v>0.01</v>
      </c>
      <c r="C36" s="226">
        <v>0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Sparganium emersum except. fo. brevifolium</v>
      </c>
      <c r="E36" s="228" t="e">
        <f>IF(D36="",,VLOOKUP(D36,D$22:D35,1,0))</f>
        <v>#N/A</v>
      </c>
      <c r="F36" s="229">
        <f t="shared" si="0"/>
        <v>0.007000000000000001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PHy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7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7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1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Sparganium emersum except. fo. brevifolium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1670</v>
      </c>
      <c r="R36" s="219">
        <f t="shared" si="2"/>
        <v>0.007000000000000001</v>
      </c>
      <c r="S36" s="220">
        <f t="shared" si="3"/>
        <v>1</v>
      </c>
      <c r="T36" s="220">
        <f t="shared" si="4"/>
        <v>7</v>
      </c>
      <c r="U36" s="220">
        <f t="shared" si="5"/>
        <v>7</v>
      </c>
      <c r="V36" s="236">
        <f t="shared" si="6"/>
        <v>1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SPAEME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592</v>
      </c>
    </row>
    <row r="37" spans="1:26" ht="12.75">
      <c r="A37" s="224" t="s">
        <v>94</v>
      </c>
      <c r="B37" s="225">
        <v>0.01</v>
      </c>
      <c r="C37" s="226">
        <v>0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Berula erecta</v>
      </c>
      <c r="E37" s="228" t="e">
        <f>IF(D37="",,VLOOKUP(D37,D$22:D36,1,0))</f>
        <v>#N/A</v>
      </c>
      <c r="F37" s="229">
        <f t="shared" si="0"/>
        <v>0.007000000000000001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PHe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8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14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Berula erecta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1977</v>
      </c>
      <c r="R37" s="219">
        <f t="shared" si="2"/>
        <v>0.007000000000000001</v>
      </c>
      <c r="S37" s="220">
        <f t="shared" si="3"/>
        <v>1</v>
      </c>
      <c r="T37" s="220">
        <f t="shared" si="4"/>
        <v>14</v>
      </c>
      <c r="U37" s="220">
        <f t="shared" si="5"/>
        <v>28</v>
      </c>
      <c r="V37" s="236">
        <f t="shared" si="6"/>
        <v>2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BERERE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625</v>
      </c>
    </row>
    <row r="38" spans="1:26" ht="12.75">
      <c r="A38" s="224" t="s">
        <v>95</v>
      </c>
      <c r="B38" s="225">
        <v>0</v>
      </c>
      <c r="C38" s="226">
        <v>0.01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Caltha palustris</v>
      </c>
      <c r="E38" s="228" t="e">
        <f>IF(D38="",,VLOOKUP(D38,D$22:D37,1,0))</f>
        <v>#N/A</v>
      </c>
      <c r="F38" s="229">
        <f t="shared" si="0"/>
        <v>0.003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PHe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8</v>
      </c>
      <c r="I38" s="5">
        <f t="shared" si="1"/>
        <v>1</v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nc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nc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Caltha palustris</v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1893</v>
      </c>
      <c r="R38" s="219">
        <f t="shared" si="2"/>
        <v>0.003</v>
      </c>
      <c r="S38" s="220">
        <f t="shared" si="3"/>
        <v>1</v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CAHPAL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628</v>
      </c>
    </row>
    <row r="39" spans="1:26" ht="12.75">
      <c r="A39" s="224" t="s">
        <v>96</v>
      </c>
      <c r="B39" s="225">
        <v>0.01</v>
      </c>
      <c r="C39" s="226">
        <v>0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Glyceria fluitans</v>
      </c>
      <c r="E39" s="228" t="e">
        <f>IF(D39="",,VLOOKUP(D39,D$22:D38,1,0))</f>
        <v>#N/A</v>
      </c>
      <c r="F39" s="229">
        <f t="shared" si="0"/>
        <v>0.007000000000000001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PHe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8</v>
      </c>
      <c r="I39" s="5">
        <f t="shared" si="1"/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14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2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Glyceria fluitans</v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1564</v>
      </c>
      <c r="R39" s="219">
        <f t="shared" si="2"/>
        <v>0.007000000000000001</v>
      </c>
      <c r="S39" s="220">
        <f t="shared" si="3"/>
        <v>1</v>
      </c>
      <c r="T39" s="220">
        <f t="shared" si="4"/>
        <v>14</v>
      </c>
      <c r="U39" s="220">
        <f t="shared" si="5"/>
        <v>28</v>
      </c>
      <c r="V39" s="236">
        <f t="shared" si="6"/>
        <v>2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GLYFLU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676</v>
      </c>
    </row>
    <row r="40" spans="1:26" ht="12.75">
      <c r="A40" s="224" t="s">
        <v>97</v>
      </c>
      <c r="B40" s="225">
        <v>0</v>
      </c>
      <c r="C40" s="226">
        <v>0.01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Mentha longifolia</v>
      </c>
      <c r="E40" s="228" t="e">
        <f>IF(D40="",,VLOOKUP(D40,D$22:D39,1,0))</f>
        <v>#N/A</v>
      </c>
      <c r="F40" s="229">
        <f t="shared" si="0"/>
        <v>0.003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PHe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8</v>
      </c>
      <c r="I40" s="5">
        <f t="shared" si="1"/>
        <v>1</v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nc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nc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Mentha longifolia</v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19856</v>
      </c>
      <c r="R40" s="219">
        <f t="shared" si="2"/>
        <v>0.003</v>
      </c>
      <c r="S40" s="220">
        <f t="shared" si="3"/>
        <v>1</v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MENLON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695</v>
      </c>
    </row>
    <row r="41" spans="1:26" ht="12.75">
      <c r="A41" s="224" t="s">
        <v>98</v>
      </c>
      <c r="B41" s="225">
        <v>0</v>
      </c>
      <c r="C41" s="226">
        <v>0.01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Veronica anagallis-aquatica</v>
      </c>
      <c r="E41" s="228" t="e">
        <f>IF(D41="",,VLOOKUP(D41,D$22:D40,1,0))</f>
        <v>#N/A</v>
      </c>
      <c r="F41" s="229">
        <f t="shared" si="0"/>
        <v>0.003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PHe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8</v>
      </c>
      <c r="I41" s="5">
        <f t="shared" si="1"/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11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2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Veronica anagallis-aquatica</v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1955</v>
      </c>
      <c r="R41" s="219">
        <f t="shared" si="2"/>
        <v>0.003</v>
      </c>
      <c r="S41" s="220">
        <f t="shared" si="3"/>
        <v>1</v>
      </c>
      <c r="T41" s="220">
        <f t="shared" si="4"/>
        <v>11</v>
      </c>
      <c r="U41" s="220">
        <f t="shared" si="5"/>
        <v>22</v>
      </c>
      <c r="V41" s="236">
        <f t="shared" si="6"/>
        <v>2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VERANA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740</v>
      </c>
    </row>
    <row r="42" spans="1:26" ht="12.75">
      <c r="A42" s="224" t="s">
        <v>99</v>
      </c>
      <c r="B42" s="225">
        <v>0</v>
      </c>
      <c r="C42" s="226">
        <v>0.01</v>
      </c>
      <c r="D42" s="227" t="str">
        <f>IF(ISERROR(VLOOKUP($A42,'[1]liste reference'!$A$6:$B$1174,2,0)),IF(ISERROR(VLOOKUP($A42,'[1]liste reference'!$B$6:$B$1174,1,0)),"",VLOOKUP($A42,'[1]liste reference'!$B$6:$B$1174,1,0)),VLOOKUP($A42,'[1]liste reference'!$A$6:$B$1174,2,0))</f>
        <v>Epilobium hirsutum</v>
      </c>
      <c r="E42" s="228" t="e">
        <f>IF(D42="",,VLOOKUP(D42,D$22:D41,1,0))</f>
        <v>#N/A</v>
      </c>
      <c r="F42" s="229">
        <f t="shared" si="0"/>
        <v>0.003</v>
      </c>
      <c r="G42" s="230" t="str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  <v>PHg</v>
      </c>
      <c r="H42" s="231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9</v>
      </c>
      <c r="I42" s="5">
        <f t="shared" si="1"/>
        <v>1</v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nc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nc</v>
      </c>
      <c r="L42" s="215" t="str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  <v>Epilobium hirsutum</v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  <v>1846</v>
      </c>
      <c r="R42" s="219">
        <f t="shared" si="2"/>
        <v>0.003</v>
      </c>
      <c r="S42" s="220">
        <f t="shared" si="3"/>
        <v>1</v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 t="str">
        <f>IF(AND(ISNUMBER(F42),OR(A42="",A42="!!!!!!")),"!!!!!!",IF(A42="new.cod","NEWCOD",IF(AND((Z42=""),ISTEXT(A42),A42&lt;&gt;"!!!!!!"),A42,IF(Z42="","",INDEX('[1]liste reference'!$A$6:$A$1174,Z42)))))</f>
        <v>EPIHIR</v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  <v>830</v>
      </c>
    </row>
    <row r="43" spans="1:26" ht="12.75">
      <c r="A43" s="224" t="s">
        <v>100</v>
      </c>
      <c r="B43" s="225">
        <v>0</v>
      </c>
      <c r="C43" s="226">
        <v>0.01</v>
      </c>
      <c r="D43" s="227" t="str">
        <f>IF(ISERROR(VLOOKUP($A43,'[1]liste reference'!$A$6:$B$1174,2,0)),IF(ISERROR(VLOOKUP($A43,'[1]liste reference'!$B$6:$B$1174,1,0)),"",VLOOKUP($A43,'[1]liste reference'!$B$6:$B$1174,1,0)),VLOOKUP($A43,'[1]liste reference'!$A$6:$B$1174,2,0))</f>
        <v>Filipendula ulmaria</v>
      </c>
      <c r="E43" s="228" t="e">
        <f>IF(D43="",,VLOOKUP(D43,D$22:D42,1,0))</f>
        <v>#N/A</v>
      </c>
      <c r="F43" s="229">
        <f t="shared" si="0"/>
        <v>0.003</v>
      </c>
      <c r="G43" s="230" t="str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  <v>PHg</v>
      </c>
      <c r="H43" s="231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9</v>
      </c>
      <c r="I43" s="5">
        <f t="shared" si="1"/>
        <v>1</v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nc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nc</v>
      </c>
      <c r="L43" s="215" t="str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  <v>Filipendula ulmaria</v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  <v>1919</v>
      </c>
      <c r="R43" s="219">
        <f t="shared" si="2"/>
        <v>0.003</v>
      </c>
      <c r="S43" s="220">
        <f t="shared" si="3"/>
        <v>1</v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 t="str">
        <f>IF(AND(ISNUMBER(F43),OR(A43="",A43="!!!!!!")),"!!!!!!",IF(A43="new.cod","NEWCOD",IF(AND((Z43=""),ISTEXT(A43),A43&lt;&gt;"!!!!!!"),A43,IF(Z43="","",INDEX('[1]liste reference'!$A$6:$A$1174,Z43)))))</f>
        <v>FILULM</v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  <v>841</v>
      </c>
    </row>
    <row r="44" spans="1:26" ht="12.75">
      <c r="A44" s="224" t="s">
        <v>101</v>
      </c>
      <c r="B44" s="225">
        <v>0</v>
      </c>
      <c r="C44" s="226">
        <v>0.01</v>
      </c>
      <c r="D44" s="227" t="str">
        <f>IF(ISERROR(VLOOKUP($A44,'[1]liste reference'!$A$6:$B$1174,2,0)),IF(ISERROR(VLOOKUP($A44,'[1]liste reference'!$B$6:$B$1174,1,0)),"",VLOOKUP($A44,'[1]liste reference'!$B$6:$B$1174,1,0)),VLOOKUP($A44,'[1]liste reference'!$A$6:$B$1174,2,0))</f>
        <v>Carex sp.</v>
      </c>
      <c r="E44" s="228" t="e">
        <f>IF(D44="",,VLOOKUP(D44,D$22:D43,1,0))</f>
        <v>#N/A</v>
      </c>
      <c r="F44" s="229">
        <f t="shared" si="0"/>
        <v>0.003</v>
      </c>
      <c r="G44" s="230" t="str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  <v>PHx</v>
      </c>
      <c r="H44" s="231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10</v>
      </c>
      <c r="I44" s="5">
        <f t="shared" si="1"/>
        <v>1</v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nc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nc</v>
      </c>
      <c r="L44" s="215" t="str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  <v>Carex sp.</v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  <v>1466</v>
      </c>
      <c r="R44" s="219">
        <f t="shared" si="2"/>
        <v>0.003</v>
      </c>
      <c r="S44" s="220">
        <f t="shared" si="3"/>
        <v>1</v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 t="str">
        <f>IF(AND(ISNUMBER(F44),OR(A44="",A44="!!!!!!")),"!!!!!!",IF(A44="new.cod","NEWCOD",IF(AND((Z44=""),ISTEXT(A44),A44&lt;&gt;"!!!!!!"),A44,IF(Z44="","",INDEX('[1]liste reference'!$A$6:$A$1174,Z44)))))</f>
        <v>CARSPX</v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  <v>1037</v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21.672000000000008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32</v>
      </c>
      <c r="W83" s="220"/>
      <c r="X83" s="258"/>
      <c r="Y83" s="258"/>
      <c r="Z83" s="259"/>
    </row>
    <row r="84" spans="1:26" ht="12.75" hidden="1">
      <c r="A84" s="253" t="str">
        <f>A3</f>
        <v>Bourne</v>
      </c>
      <c r="B84" s="187" t="str">
        <f>C3</f>
        <v>Bourne à Choranche</v>
      </c>
      <c r="C84" s="260" t="str">
        <f>A4</f>
        <v>(Date)</v>
      </c>
      <c r="D84" s="261">
        <f>IF(OR(ISERROR(SUM($U$23:$U$82)/SUM($V$23:$V$82)),F7&lt;&gt;100),-1,SUM($U$23:$U$82)/SUM($V$23:$V$82))</f>
        <v>12.125</v>
      </c>
      <c r="E84" s="262">
        <f>O13</f>
        <v>22</v>
      </c>
      <c r="F84" s="187">
        <f>O14</f>
        <v>17</v>
      </c>
      <c r="G84" s="187">
        <f>O15</f>
        <v>8</v>
      </c>
      <c r="H84" s="187">
        <f>O16</f>
        <v>8</v>
      </c>
      <c r="I84" s="187">
        <f>O17</f>
        <v>1</v>
      </c>
      <c r="J84" s="263">
        <f>O8</f>
        <v>11.588235294117647</v>
      </c>
      <c r="K84" s="264">
        <f>O9</f>
        <v>2.829650228424869</v>
      </c>
      <c r="L84" s="265">
        <f>O10</f>
        <v>6</v>
      </c>
      <c r="M84" s="265">
        <f>O11</f>
        <v>18</v>
      </c>
      <c r="N84" s="264">
        <f>P8</f>
        <v>1.588235294117647</v>
      </c>
      <c r="O84" s="264">
        <f>P9</f>
        <v>0.5998846486579748</v>
      </c>
      <c r="P84" s="265">
        <f>P10</f>
        <v>1</v>
      </c>
      <c r="Q84" s="265">
        <f>P11</f>
        <v>3</v>
      </c>
      <c r="R84" s="265">
        <f>F21</f>
        <v>21.672000000000008</v>
      </c>
      <c r="S84" s="265">
        <f>L11</f>
        <v>0</v>
      </c>
      <c r="T84" s="265">
        <f>L12</f>
        <v>7</v>
      </c>
      <c r="U84" s="265">
        <f>L13</f>
        <v>5</v>
      </c>
      <c r="V84" s="266">
        <f>L15</f>
        <v>10</v>
      </c>
      <c r="W84" s="267">
        <f>L15</f>
        <v>10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102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103</v>
      </c>
      <c r="S87" s="5"/>
      <c r="T87" s="272">
        <f>VLOOKUP($T$91,($A$23:$U$82),20,FALSE)</f>
        <v>40</v>
      </c>
      <c r="U87" s="5"/>
      <c r="V87" s="5"/>
    </row>
    <row r="88" spans="3:22" ht="12.75" hidden="1">
      <c r="C88" s="269"/>
      <c r="D88" s="269"/>
      <c r="E88" s="269"/>
      <c r="R88" s="5" t="s">
        <v>104</v>
      </c>
      <c r="S88" s="5"/>
      <c r="T88" s="272">
        <f>VLOOKUP($T$91,($A$23:$U$82),21,FALSE)</f>
        <v>40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105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106</v>
      </c>
      <c r="S90" s="5" t="s">
        <v>10</v>
      </c>
      <c r="T90" s="273">
        <f>IF(OR(ISERROR(SUM($U$23:$U$82)/SUM($V$23:$V$82)),F7&lt;&gt;100),-1,(SUM($U$23:$U$82)-T88)/(SUM($V$23:$V$82)-T89))</f>
        <v>12.428571428571429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107</v>
      </c>
      <c r="S91" s="220"/>
      <c r="T91" s="220" t="str">
        <f>INDEX('[1]liste reference'!$A$6:$A$1174,$U$91)</f>
        <v>FONANT</v>
      </c>
      <c r="U91" s="5">
        <f>IF(ISERROR(MATCH($T$93,'[1]liste reference'!$A$6:$A$1174,0)),MATCH($T$93,'[1]liste reference'!$B$6:$B$1174,0),(MATCH($T$93,'[1]liste reference'!$A$6:$A$1174,0)))</f>
        <v>273</v>
      </c>
      <c r="V91" s="274"/>
    </row>
    <row r="92" spans="3:21" ht="12.75" hidden="1">
      <c r="C92" s="269"/>
      <c r="D92" s="269"/>
      <c r="E92" s="269"/>
      <c r="R92" s="5" t="s">
        <v>108</v>
      </c>
      <c r="S92" s="5"/>
      <c r="T92" s="5">
        <f>MATCH(T89,$V$23:$V$82,0)</f>
        <v>10</v>
      </c>
      <c r="U92" s="5"/>
    </row>
    <row r="93" spans="3:21" ht="12.75" hidden="1">
      <c r="C93" s="269"/>
      <c r="D93" s="269"/>
      <c r="E93" s="269"/>
      <c r="R93" s="220" t="s">
        <v>109</v>
      </c>
      <c r="S93" s="5"/>
      <c r="T93" s="220" t="str">
        <f>INDEX($A$23:$A$82,$T$92)</f>
        <v>FONANT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2016-04-01T07:25:50Z</dcterms:created>
  <dcterms:modified xsi:type="dcterms:W3CDTF">2016-04-01T07:25:52Z</dcterms:modified>
  <cp:category/>
  <cp:version/>
  <cp:contentType/>
  <cp:contentStatus/>
</cp:coreProperties>
</file>