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<sst xmlns="http://schemas.openxmlformats.org/spreadsheetml/2006/main" count="209" uniqueCount="93">
  <si>
    <t>Relevés floristiques aquatiques - IBMR</t>
  </si>
  <si>
    <t>Formulaire modèle GIS Macrophytes v_2.6 - février 2012</t>
  </si>
  <si>
    <t>SAGE</t>
  </si>
  <si>
    <t>ISEBE BERNARD</t>
  </si>
  <si>
    <t>conforme AFNOR T90-395 oct. 2003</t>
  </si>
  <si>
    <t>Isère</t>
  </si>
  <si>
    <t>Isère à Eymeux</t>
  </si>
  <si>
    <t>06148200</t>
  </si>
  <si>
    <t>AERMC</t>
  </si>
  <si>
    <t>Résultats</t>
  </si>
  <si>
    <t>Robustesse:</t>
  </si>
  <si>
    <t>Unité de relevé</t>
  </si>
  <si>
    <t>UR1</t>
  </si>
  <si>
    <t>UR2</t>
  </si>
  <si>
    <t>station</t>
  </si>
  <si>
    <t>IBMR:</t>
  </si>
  <si>
    <t>Faciès dominant</t>
  </si>
  <si>
    <t>ch. lentique</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</si>
  <si>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</si>
  <si>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</si>
  <si>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</si>
  <si>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</si>
  <si>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</si>
  <si>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</si>
  <si>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</si>
  <si>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</si>
  <si>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</si>
  <si>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</si>
  <si>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</si>
  <si>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</si>
  <si>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</si>
  <si>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</si>
  <si>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</si>
  <si>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</si>
  <si>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</si>
  <si>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</si>
  <si>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</si>
  <si>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</si>
  <si>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</si>
  <si>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</si>
  <si>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</si>
  <si>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</si>
  <si>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</si>
  <si>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</si>
  <si>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</si>
  <si>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</si>
  <si>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</si>
  <si>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</si>
  <si>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</si>
  <si>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</si>
  <si>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</si>
  <si>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</si>
  <si>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</si>
  <si>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</si>
  <si>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</si>
  <si>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</si>
  <si>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</si>
  <si>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</si>
  <si>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</si>
  <si>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</si>
  <si>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</si>
  <si>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</si>
  <si>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</si>
  <si>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</si>
  <si>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</si>
  <si>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</si>
  <si>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</si>
  <si>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</si>
  <si>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</si>
  <si>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</si>
  <si>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</si>
  <si>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</si>
  <si>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</si>
  <si>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</si>
  <si>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</si>
  <si>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</si>
  <si>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</si>
  <si>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</si>
  <si>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</si>
  <si>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OSCSPX</t>
  </si>
  <si>
    <t>PHOSPX</t>
  </si>
  <si>
    <t>SPISPX</t>
  </si>
  <si>
    <t>CINDAN</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</si>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</sst>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ISEYM_25-09-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W17" sqref="W17"/>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41177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11.090909090909092</v>
      </c>
      <c r="M5" s="53"/>
      <c r="N5" s="54"/>
      <c r="O5" s="55">
        <v>10.666666666666666</v>
      </c>
      <c r="P5" s="56"/>
      <c r="Q5" s="8"/>
      <c r="R5" s="8"/>
      <c r="S5" s="8"/>
      <c r="T5" s="8"/>
      <c r="U5" s="8"/>
      <c r="V5" s="8"/>
      <c r="W5" s="22"/>
      <c r="X5" s="42"/>
    </row>
    <row r="6" spans="1:24" ht="13.5" thickBot="1">
      <c r="A6" s="43" t="s">
        <v>16</v>
      </c>
      <c r="B6" s="57"/>
      <c r="C6" s="57" t="s">
        <v>17</v>
      </c>
      <c r="D6" s="46"/>
      <c r="E6" s="46"/>
      <c r="F6" s="47"/>
      <c r="G6" s="48"/>
      <c r="H6" s="46"/>
      <c r="I6" s="58" t="s">
        <v>18</v>
      </c>
      <c r="J6" s="59"/>
      <c r="K6" s="60"/>
      <c r="L6" s="61" t="s">
        <v>19</v>
      </c>
      <c r="M6" s="62"/>
      <c r="N6" s="63" t="s">
        <v>20</v>
      </c>
      <c r="O6" s="63"/>
      <c r="P6" s="64"/>
      <c r="Q6" s="8"/>
      <c r="R6" s="8"/>
      <c r="S6" s="8"/>
      <c r="T6" s="8"/>
      <c r="U6" s="8"/>
      <c r="V6" s="8"/>
      <c r="W6" s="22"/>
      <c r="X6" s="23"/>
    </row>
    <row r="7" spans="1:24" ht="12.75">
      <c r="A7" s="65" t="s">
        <v>21</v>
      </c>
      <c r="B7" s="66"/>
      <c r="C7" s="67">
        <v>100</v>
      </c>
      <c r="D7" s="68"/>
      <c r="E7" s="68"/>
      <c r="F7" s="69">
        <f>IF((OR((B7+C7=100),(B7+C7=0))),B7+C7,"ATTENTION")</f>
        <v>100</v>
      </c>
      <c r="G7" s="70"/>
      <c r="H7" s="68"/>
      <c r="I7" s="71"/>
      <c r="J7" s="72"/>
      <c r="K7" s="73"/>
      <c r="L7" s="74"/>
      <c r="M7" s="75"/>
      <c r="N7" s="76" t="s">
        <v>22</v>
      </c>
      <c r="O7" s="76" t="s">
        <v>23</v>
      </c>
      <c r="P7" s="77"/>
      <c r="Q7" s="8"/>
      <c r="R7" s="8"/>
      <c r="S7" s="8"/>
      <c r="T7" s="8"/>
      <c r="U7" s="8"/>
      <c r="V7" s="8"/>
      <c r="W7" s="22"/>
      <c r="X7" s="23"/>
    </row>
    <row r="8" spans="1:24" ht="12.75">
      <c r="A8" s="78" t="s">
        <v>24</v>
      </c>
      <c r="B8" s="79"/>
      <c r="C8" s="79"/>
      <c r="D8" s="68"/>
      <c r="E8" s="68"/>
      <c r="F8" s="80" t="s">
        <v>25</v>
      </c>
      <c r="G8" s="81"/>
      <c r="H8" s="82"/>
      <c r="I8" s="71"/>
      <c r="J8" s="72"/>
      <c r="K8" s="73"/>
      <c r="L8" s="74"/>
      <c r="M8" s="83" t="s">
        <v>26</v>
      </c>
      <c r="N8" s="84">
        <f>AVERAGE(I23:I82)</f>
        <v>10.833333333333334</v>
      </c>
      <c r="O8" s="84">
        <f>AVERAGE(J23:J82)</f>
        <v>1.6666666666666667</v>
      </c>
      <c r="P8" s="85"/>
      <c r="Q8" s="8"/>
      <c r="R8" s="8"/>
      <c r="S8" s="8"/>
      <c r="T8" s="8"/>
      <c r="U8" s="8"/>
      <c r="V8" s="8"/>
      <c r="W8" s="22"/>
      <c r="X8" s="23"/>
    </row>
    <row r="9" spans="1:24" ht="13.5" thickBot="1">
      <c r="A9" s="43" t="s">
        <v>27</v>
      </c>
      <c r="B9" s="86"/>
      <c r="C9" s="87">
        <v>0.46</v>
      </c>
      <c r="D9" s="88"/>
      <c r="E9" s="88"/>
      <c r="F9" s="89">
        <f aca="true" t="shared" si="0" ref="F9:F15">($B9*$B$7+$C9*$C$7)/100</f>
        <v>0.46</v>
      </c>
      <c r="G9" s="90"/>
      <c r="H9" s="91"/>
      <c r="I9" s="92"/>
      <c r="J9" s="93"/>
      <c r="K9" s="73"/>
      <c r="L9" s="94"/>
      <c r="M9" s="83" t="s">
        <v>28</v>
      </c>
      <c r="N9" s="84">
        <f>STDEV(I23:I82)</f>
        <v>2.639444385977222</v>
      </c>
      <c r="O9" s="84">
        <f>STDEV(J23:J82)</f>
        <v>0.8164965809277259</v>
      </c>
      <c r="P9" s="85"/>
      <c r="Q9" s="8"/>
      <c r="R9" s="8"/>
      <c r="S9" s="8"/>
      <c r="T9" s="8"/>
      <c r="U9" s="8"/>
      <c r="V9" s="8"/>
      <c r="W9" s="95"/>
      <c r="X9" s="96"/>
    </row>
    <row r="10" spans="1:22" ht="13.5" thickTop="1">
      <c r="A10" s="97" t="s">
        <v>29</v>
      </c>
      <c r="B10" s="98"/>
      <c r="C10" s="99"/>
      <c r="D10" s="100"/>
      <c r="E10" s="100"/>
      <c r="F10" s="89">
        <f t="shared" si="0"/>
        <v>0</v>
      </c>
      <c r="G10" s="90"/>
      <c r="H10" s="101"/>
      <c r="I10" s="102"/>
      <c r="J10" s="103" t="s">
        <v>30</v>
      </c>
      <c r="K10" s="103"/>
      <c r="L10" s="104"/>
      <c r="M10" s="105" t="s">
        <v>31</v>
      </c>
      <c r="N10" s="106">
        <f>MIN(I23:I82)</f>
        <v>6</v>
      </c>
      <c r="O10" s="106">
        <f>MIN(J23:J82)</f>
        <v>1</v>
      </c>
      <c r="P10" s="107"/>
      <c r="Q10" s="8"/>
      <c r="R10" s="8"/>
      <c r="S10" s="8"/>
      <c r="T10" s="8"/>
      <c r="U10" s="8"/>
      <c r="V10" s="8"/>
    </row>
    <row r="11" spans="1:22" ht="12.75">
      <c r="A11" s="108" t="s">
        <v>32</v>
      </c>
      <c r="B11" s="109"/>
      <c r="C11" s="110"/>
      <c r="D11" s="111"/>
      <c r="E11" s="111"/>
      <c r="F11" s="112">
        <f t="shared" si="0"/>
        <v>0</v>
      </c>
      <c r="G11" s="113"/>
      <c r="H11" s="68"/>
      <c r="I11" s="114" t="s">
        <v>33</v>
      </c>
      <c r="J11" s="115"/>
      <c r="K11" s="116">
        <f>COUNTIF($G$23:$G$82,"=HET")</f>
        <v>0</v>
      </c>
      <c r="L11" s="117"/>
      <c r="M11" s="105" t="s">
        <v>34</v>
      </c>
      <c r="N11" s="106">
        <f>MAX(I23:I82)</f>
        <v>13</v>
      </c>
      <c r="O11" s="106">
        <f>MAX(J23:J82)</f>
        <v>3</v>
      </c>
      <c r="P11" s="107"/>
      <c r="Q11" s="8"/>
      <c r="R11" s="8"/>
      <c r="S11" s="8"/>
      <c r="T11" s="8"/>
      <c r="U11" s="8"/>
      <c r="V11" s="8"/>
    </row>
    <row r="12" spans="1:22" ht="12.75">
      <c r="A12" s="118" t="s">
        <v>35</v>
      </c>
      <c r="B12" s="119"/>
      <c r="C12" s="120">
        <v>0.4</v>
      </c>
      <c r="D12" s="111"/>
      <c r="E12" s="111"/>
      <c r="F12" s="112">
        <f t="shared" si="0"/>
        <v>0.4</v>
      </c>
      <c r="G12" s="121"/>
      <c r="H12" s="68"/>
      <c r="I12" s="122" t="s">
        <v>36</v>
      </c>
      <c r="J12" s="123"/>
      <c r="K12" s="116">
        <f>COUNTIF($G$23:$G$82,"=ALG")</f>
        <v>5</v>
      </c>
      <c r="L12" s="124"/>
      <c r="M12" s="125"/>
      <c r="N12" s="126" t="s">
        <v>30</v>
      </c>
      <c r="O12" s="127"/>
      <c r="P12" s="128"/>
      <c r="Q12" s="8"/>
      <c r="R12" s="8"/>
      <c r="S12" s="8"/>
      <c r="T12" s="8"/>
      <c r="U12" s="8"/>
      <c r="V12" s="8"/>
    </row>
    <row r="13" spans="1:22" ht="12.75">
      <c r="A13" s="118" t="s">
        <v>37</v>
      </c>
      <c r="B13" s="119"/>
      <c r="C13" s="120">
        <v>0.05</v>
      </c>
      <c r="D13" s="111"/>
      <c r="E13" s="111"/>
      <c r="F13" s="112">
        <f t="shared" si="0"/>
        <v>0.05</v>
      </c>
      <c r="G13" s="121"/>
      <c r="H13" s="68"/>
      <c r="I13" s="129" t="s">
        <v>38</v>
      </c>
      <c r="J13" s="123"/>
      <c r="K13" s="116">
        <f>COUNTIF($G$23:$G$82,"=BRm")+COUNTIF($G$23:$G$82,"=BRh")</f>
        <v>1</v>
      </c>
      <c r="L13" s="117"/>
      <c r="M13" s="130" t="s">
        <v>39</v>
      </c>
      <c r="N13" s="131">
        <f>COUNTIF(F23:F82,"&gt;0")</f>
        <v>6</v>
      </c>
      <c r="O13" s="132"/>
      <c r="P13" s="133"/>
      <c r="Q13" s="8"/>
      <c r="R13" s="8"/>
      <c r="S13" s="8"/>
      <c r="T13" s="8"/>
      <c r="U13" s="8"/>
      <c r="V13" s="8"/>
    </row>
    <row r="14" spans="1:22" ht="12.75">
      <c r="A14" s="118" t="s">
        <v>40</v>
      </c>
      <c r="B14" s="119"/>
      <c r="C14" s="120"/>
      <c r="D14" s="111"/>
      <c r="E14" s="111"/>
      <c r="F14" s="112">
        <f t="shared" si="0"/>
        <v>0</v>
      </c>
      <c r="G14" s="121"/>
      <c r="H14" s="68"/>
      <c r="I14" s="129" t="s">
        <v>41</v>
      </c>
      <c r="J14" s="123"/>
      <c r="K14" s="116">
        <f>COUNTIF($G$23:$G$82,"=PTE")+COUNTIF($G$23:$G$82,"=LIC")</f>
        <v>0</v>
      </c>
      <c r="L14" s="117"/>
      <c r="M14" s="134" t="s">
        <v>42</v>
      </c>
      <c r="N14" s="135">
        <f>COUNTIF($I$23:$I$82,"&gt;-1")</f>
        <v>6</v>
      </c>
      <c r="O14" s="136"/>
      <c r="P14" s="133"/>
      <c r="Q14" s="8"/>
      <c r="R14" s="8"/>
      <c r="S14" s="8"/>
      <c r="T14" s="8"/>
      <c r="U14" s="8"/>
      <c r="V14" s="8"/>
    </row>
    <row r="15" spans="1:22" ht="12.75">
      <c r="A15" s="137" t="s">
        <v>43</v>
      </c>
      <c r="B15" s="138"/>
      <c r="C15" s="139"/>
      <c r="D15" s="111"/>
      <c r="E15" s="111"/>
      <c r="F15" s="112">
        <f t="shared" si="0"/>
        <v>0</v>
      </c>
      <c r="G15" s="121"/>
      <c r="H15" s="68"/>
      <c r="I15" s="129" t="s">
        <v>44</v>
      </c>
      <c r="J15" s="123"/>
      <c r="K15" s="116">
        <f>(COUNTIF($G$23:$G$82,"=PHy"))+(COUNTIF($G$23:$G$82,"=PHe"))+(COUNTIF($G$23:$G$82,"=PHg"))+(COUNTIF($G$23:$G$82,"=PHx"))</f>
        <v>0</v>
      </c>
      <c r="L15" s="117"/>
      <c r="M15" s="140" t="s">
        <v>45</v>
      </c>
      <c r="N15" s="141">
        <f>COUNTIF(J23:J82,"=1")</f>
        <v>3</v>
      </c>
      <c r="O15" s="142"/>
      <c r="P15" s="133"/>
      <c r="Q15" s="8"/>
      <c r="R15" s="8"/>
      <c r="S15" s="8"/>
      <c r="T15" s="8"/>
      <c r="U15" s="8"/>
      <c r="V15" s="8"/>
    </row>
    <row r="16" spans="1:22" ht="12.75">
      <c r="A16" s="108" t="s">
        <v>46</v>
      </c>
      <c r="B16" s="109"/>
      <c r="C16" s="110"/>
      <c r="D16" s="143"/>
      <c r="E16" s="143"/>
      <c r="F16" s="144"/>
      <c r="G16" s="144">
        <f>($B16*$B$7+$C16*$C$7)/100</f>
        <v>0</v>
      </c>
      <c r="H16" s="68"/>
      <c r="I16" s="145"/>
      <c r="J16" s="146"/>
      <c r="K16" s="146"/>
      <c r="L16" s="117"/>
      <c r="M16" s="140" t="s">
        <v>47</v>
      </c>
      <c r="N16" s="141">
        <f>COUNTIF(J23:J82,"=2")</f>
        <v>2</v>
      </c>
      <c r="O16" s="142"/>
      <c r="P16" s="133"/>
      <c r="Q16" s="8"/>
      <c r="R16" s="8"/>
      <c r="S16" s="8"/>
      <c r="T16" s="8"/>
      <c r="U16" s="8"/>
      <c r="V16" s="8"/>
    </row>
    <row r="17" spans="1:22" ht="12.75">
      <c r="A17" s="118" t="s">
        <v>48</v>
      </c>
      <c r="B17" s="119"/>
      <c r="C17" s="120">
        <v>0.46</v>
      </c>
      <c r="D17" s="111"/>
      <c r="E17" s="111"/>
      <c r="F17" s="147"/>
      <c r="G17" s="112">
        <f>($B17*$B$7+$C17*$C$7)/100</f>
        <v>0.46</v>
      </c>
      <c r="H17" s="68"/>
      <c r="I17" s="129"/>
      <c r="J17" s="123"/>
      <c r="K17" s="146"/>
      <c r="L17" s="117"/>
      <c r="M17" s="140" t="s">
        <v>49</v>
      </c>
      <c r="N17" s="141">
        <f>COUNTIF(J23:J82,"=3")</f>
        <v>1</v>
      </c>
      <c r="O17" s="142"/>
      <c r="P17" s="133"/>
      <c r="Q17" s="8"/>
      <c r="R17" s="8"/>
      <c r="S17" s="8"/>
      <c r="T17" s="8"/>
      <c r="U17" s="8"/>
      <c r="V17" s="8"/>
    </row>
    <row r="18" spans="1:23" ht="12.75">
      <c r="A18" s="148" t="s">
        <v>50</v>
      </c>
      <c r="B18" s="149"/>
      <c r="C18" s="150"/>
      <c r="D18" s="111"/>
      <c r="E18" s="151" t="s">
        <v>51</v>
      </c>
      <c r="F18" s="147"/>
      <c r="G18" s="112">
        <f>($B18*$B$7+$C18*$C$7)/100</f>
        <v>0</v>
      </c>
      <c r="H18" s="68"/>
      <c r="I18" s="129"/>
      <c r="J18" s="123"/>
      <c r="K18" s="146"/>
      <c r="L18" s="117"/>
      <c r="M18" s="152"/>
      <c r="N18" s="152"/>
      <c r="O18" s="142"/>
      <c r="P18" s="153"/>
      <c r="Q18" s="8"/>
      <c r="R18" s="8"/>
      <c r="S18" s="8"/>
      <c r="T18" s="8"/>
      <c r="U18" s="8"/>
      <c r="V18" s="8" t="s">
        <v>52</v>
      </c>
      <c r="W18" s="154" t="s">
        <v>53</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0.45</v>
      </c>
      <c r="G19" s="160">
        <f>SUM(G16:G18)</f>
        <v>0.46</v>
      </c>
      <c r="H19" s="161"/>
      <c r="I19" s="162"/>
      <c r="J19" s="163"/>
      <c r="K19" s="164"/>
      <c r="L19" s="165"/>
      <c r="M19" s="166"/>
      <c r="N19" s="60"/>
      <c r="O19" s="167"/>
      <c r="P19" s="153"/>
      <c r="Q19" s="8"/>
      <c r="R19" s="8"/>
      <c r="S19" s="8"/>
      <c r="T19" s="8"/>
      <c r="U19" s="8"/>
      <c r="V19" s="8" t="s">
        <v>54</v>
      </c>
      <c r="W19" s="154" t="s">
        <v>53</v>
      </c>
    </row>
    <row r="20" spans="1:23" ht="12.75">
      <c r="A20" s="168" t="s">
        <v>92</v>
      </c>
      <c r="B20" s="169">
        <f>SUM(B23:B82)</f>
        <v>0</v>
      </c>
      <c r="C20" s="170">
        <f>SUM(C23:C82)</f>
        <v>0.4552162921348315</v>
      </c>
      <c r="D20" s="171"/>
      <c r="E20" s="172" t="s">
        <v>51</v>
      </c>
      <c r="F20" s="173">
        <f>($B20*$B$7+$C20*$C$7)/100</f>
        <v>0.4552162921348315</v>
      </c>
      <c r="G20" s="174"/>
      <c r="H20" s="175"/>
      <c r="I20" s="176"/>
      <c r="J20" s="176"/>
      <c r="K20" s="177"/>
      <c r="L20" s="47"/>
      <c r="M20" s="178"/>
      <c r="N20" s="178"/>
      <c r="O20" s="179"/>
      <c r="P20" s="180"/>
      <c r="Q20" s="181" t="s">
        <v>55</v>
      </c>
      <c r="R20" s="8"/>
      <c r="S20" s="8"/>
      <c r="T20" s="8"/>
      <c r="U20" s="8"/>
      <c r="V20" s="8" t="s">
        <v>53</v>
      </c>
      <c r="W20" s="154" t="s">
        <v>53</v>
      </c>
    </row>
    <row r="21" spans="1:23" ht="12.75">
      <c r="A21" s="182" t="s">
        <v>56</v>
      </c>
      <c r="B21" s="183">
        <f>B20*B7/100</f>
        <v>0</v>
      </c>
      <c r="C21" s="183">
        <f>C20*C7/100</f>
        <v>0.4552162921348315</v>
      </c>
      <c r="D21" s="111">
        <f>IF(F21=0,"",IF((ABS(F21-F19))&gt;(0.2*F21),CONCATENATE(" rec. par taxa (",F21," %) supérieur à 20 % !"),""))</f>
      </c>
      <c r="E21" s="184">
        <f>IF(F21=0,"",IF((ABS(F21-F19))&gt;(0.2*F21),CONCATENATE("ATTENTION : écart entre rec. par grp (",F19," %) ","et",""),""))</f>
      </c>
      <c r="F21" s="185">
        <f>B21+C21</f>
        <v>0.4552162921348315</v>
      </c>
      <c r="G21" s="186"/>
      <c r="H21" s="111"/>
      <c r="I21" s="187"/>
      <c r="J21" s="187"/>
      <c r="K21" s="188"/>
      <c r="L21" s="188"/>
      <c r="M21" s="189"/>
      <c r="N21" s="189"/>
      <c r="O21" s="190"/>
      <c r="P21" s="191"/>
      <c r="Q21" s="192" t="s">
        <v>57</v>
      </c>
      <c r="R21" s="8"/>
      <c r="S21" s="8"/>
      <c r="T21" s="8"/>
      <c r="U21" s="8"/>
      <c r="V21" s="8" t="s">
        <v>53</v>
      </c>
      <c r="W21" s="154" t="s">
        <v>53</v>
      </c>
    </row>
    <row r="22" spans="1:29" ht="12.75">
      <c r="A22" s="193" t="s">
        <v>58</v>
      </c>
      <c r="B22" s="194" t="s">
        <v>59</v>
      </c>
      <c r="C22" s="195" t="s">
        <v>59</v>
      </c>
      <c r="D22" s="143"/>
      <c r="E22" s="143"/>
      <c r="F22" s="196" t="s">
        <v>60</v>
      </c>
      <c r="G22" s="197" t="s">
        <v>61</v>
      </c>
      <c r="H22" s="143"/>
      <c r="I22" s="198" t="s">
        <v>62</v>
      </c>
      <c r="J22" s="198" t="s">
        <v>63</v>
      </c>
      <c r="K22" s="199" t="s">
        <v>64</v>
      </c>
      <c r="L22" s="199"/>
      <c r="M22" s="199"/>
      <c r="N22" s="199"/>
      <c r="O22" s="200"/>
      <c r="P22" s="201" t="s">
        <v>65</v>
      </c>
      <c r="Q22" s="202" t="s">
        <v>66</v>
      </c>
      <c r="R22" s="203" t="s">
        <v>67</v>
      </c>
      <c r="S22" s="204" t="s">
        <v>68</v>
      </c>
      <c r="T22" s="205" t="s">
        <v>69</v>
      </c>
      <c r="U22" s="206" t="s">
        <v>70</v>
      </c>
      <c r="V22" s="204" t="s">
        <v>71</v>
      </c>
      <c r="Y22" s="8" t="s">
        <v>72</v>
      </c>
      <c r="Z22" s="8" t="s">
        <v>73</v>
      </c>
      <c r="AA22" s="207" t="s">
        <v>74</v>
      </c>
      <c r="AB22" s="207" t="s">
        <v>75</v>
      </c>
      <c r="AC22" s="208" t="s">
        <v>76</v>
      </c>
    </row>
    <row r="23" spans="1:55" ht="12.75">
      <c r="A23" s="209" t="s">
        <v>77</v>
      </c>
      <c r="B23" s="210"/>
      <c r="C23" s="211">
        <v>0.37559550561797755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0.37559550561797755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0.37559550561797755</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78</v>
      </c>
      <c r="B24" s="229"/>
      <c r="C24" s="230">
        <v>0.0005</v>
      </c>
      <c r="D24" s="231" t="str">
        <f>IF(ISERROR(VLOOKUP($A24,'[1]liste reference'!$A$7:$D$892,2,0)),IF(ISERROR(VLOOKUP($A24,'[1]liste reference'!$B$7:$D$892,1,0)),"",VLOOKUP($A24,'[1]liste reference'!$B$7:$D$892,1,0)),VLOOKUP($A24,'[1]liste reference'!$A$7:$D$892,2,0))</f>
        <v>Diatoma sp.</v>
      </c>
      <c r="E24" s="231" t="e">
        <f>IF(D24="",,VLOOKUP(D24,D$22:D23,1,0))</f>
        <v>#N/A</v>
      </c>
      <c r="F24" s="232">
        <f t="shared" si="1"/>
        <v>0.0005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0.0005</v>
      </c>
      <c r="R24" s="222">
        <f t="shared" si="4"/>
        <v>1</v>
      </c>
      <c r="S24" s="222">
        <f t="shared" si="5"/>
        <v>12</v>
      </c>
      <c r="T24" s="222">
        <f t="shared" si="6"/>
        <v>24</v>
      </c>
      <c r="U24" s="236">
        <f t="shared" si="7"/>
        <v>2</v>
      </c>
      <c r="V24" s="223">
        <v>2</v>
      </c>
      <c r="W24" s="237" t="s">
        <v>53</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79</v>
      </c>
      <c r="B25" s="229"/>
      <c r="C25" s="230">
        <v>0.02375</v>
      </c>
      <c r="D25" s="231" t="str">
        <f>IF(ISERROR(VLOOKUP($A25,'[1]liste reference'!$A$7:$D$892,2,0)),IF(ISERROR(VLOOKUP($A25,'[1]liste reference'!$B$7:$D$892,1,0)),"",VLOOKUP($A25,'[1]liste reference'!$B$7:$D$892,1,0)),VLOOKUP($A25,'[1]liste reference'!$A$7:$D$892,2,0))</f>
        <v>Oscillatoria sp.</v>
      </c>
      <c r="E25" s="231" t="e">
        <f>IF(D25="",,VLOOKUP(D25,D$22:D24,1,0))</f>
        <v>#N/A</v>
      </c>
      <c r="F25" s="232">
        <f t="shared" si="1"/>
        <v>0.02375</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11</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Oscillatoria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118</v>
      </c>
      <c r="Q25" s="221">
        <f t="shared" si="3"/>
        <v>0.02375</v>
      </c>
      <c r="R25" s="222">
        <f t="shared" si="4"/>
        <v>1</v>
      </c>
      <c r="S25" s="222">
        <f t="shared" si="5"/>
        <v>11</v>
      </c>
      <c r="T25" s="222">
        <f t="shared" si="6"/>
        <v>11</v>
      </c>
      <c r="U25" s="236">
        <f t="shared" si="7"/>
        <v>1</v>
      </c>
      <c r="V25" s="223">
        <v>1</v>
      </c>
      <c r="W25" s="224" t="s">
        <v>53</v>
      </c>
      <c r="Y25" s="225" t="str">
        <f>IF(A25="new.cod","NEWCOD",IF(AND((Z25=""),ISTEXT(A25)),A25,IF(Z25="","",INDEX('[1]liste reference'!$A$7:$A$892,Z25))))</f>
        <v>OSCSPX</v>
      </c>
      <c r="Z25" s="8">
        <f>IF(ISERROR(MATCH(A25,'[1]liste reference'!$A$7:$A$892,0)),IF(ISERROR(MATCH(A25,'[1]liste reference'!$B$7:$B$892,0)),"",(MATCH(A25,'[1]liste reference'!$B$7:$B$892,0))),(MATCH(A25,'[1]liste reference'!$A$7:$A$892,0)))</f>
        <v>551</v>
      </c>
      <c r="AA25" s="226"/>
      <c r="AB25" s="227"/>
      <c r="AC25" s="227"/>
      <c r="BC25" s="8">
        <f t="shared" si="8"/>
        <v>1</v>
      </c>
    </row>
    <row r="26" spans="1:55" ht="12.75">
      <c r="A26" s="228" t="s">
        <v>80</v>
      </c>
      <c r="B26" s="229"/>
      <c r="C26" s="230">
        <v>0.0005</v>
      </c>
      <c r="D26" s="231" t="str">
        <f>IF(ISERROR(VLOOKUP($A26,'[1]liste reference'!$A$7:$D$892,2,0)),IF(ISERROR(VLOOKUP($A26,'[1]liste reference'!$B$7:$D$892,1,0)),"",VLOOKUP($A26,'[1]liste reference'!$B$7:$D$892,1,0)),VLOOKUP($A26,'[1]liste reference'!$A$7:$D$892,2,0))</f>
        <v>Phormidium sp.</v>
      </c>
      <c r="E26" s="231" t="e">
        <f>IF(D26="",,VLOOKUP(D26,D$22:D25,1,0))</f>
        <v>#N/A</v>
      </c>
      <c r="F26" s="232">
        <f t="shared" si="1"/>
        <v>0.0005</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Phormidium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6414</v>
      </c>
      <c r="Q26" s="221">
        <f t="shared" si="3"/>
        <v>0.0005</v>
      </c>
      <c r="R26" s="222">
        <f t="shared" si="4"/>
        <v>1</v>
      </c>
      <c r="S26" s="222">
        <f t="shared" si="5"/>
        <v>13</v>
      </c>
      <c r="T26" s="222">
        <f t="shared" si="6"/>
        <v>26</v>
      </c>
      <c r="U26" s="236">
        <f t="shared" si="7"/>
        <v>2</v>
      </c>
      <c r="V26" s="223">
        <v>2</v>
      </c>
      <c r="W26" s="224" t="s">
        <v>53</v>
      </c>
      <c r="Y26" s="225" t="str">
        <f>IF(A26="new.cod","NEWCOD",IF(AND((Z26=""),ISTEXT(A26)),A26,IF(Z26="","",INDEX('[1]liste reference'!$A$7:$A$892,Z26))))</f>
        <v>PHOSPX</v>
      </c>
      <c r="Z26" s="8">
        <f>IF(ISERROR(MATCH(A26,'[1]liste reference'!$A$7:$A$892,0)),IF(ISERROR(MATCH(A26,'[1]liste reference'!$B$7:$B$892,0)),"",(MATCH(A26,'[1]liste reference'!$B$7:$B$892,0))),(MATCH(A26,'[1]liste reference'!$A$7:$A$892,0)))</f>
        <v>570</v>
      </c>
      <c r="AA26" s="226"/>
      <c r="AB26" s="227"/>
      <c r="AC26" s="227"/>
      <c r="BC26" s="8">
        <f t="shared" si="8"/>
        <v>1</v>
      </c>
    </row>
    <row r="27" spans="1:55" ht="12.75">
      <c r="A27" s="228" t="s">
        <v>81</v>
      </c>
      <c r="B27" s="229"/>
      <c r="C27" s="230">
        <v>0.001</v>
      </c>
      <c r="D27" s="231" t="str">
        <f>IF(ISERROR(VLOOKUP($A27,'[1]liste reference'!$A$7:$D$892,2,0)),IF(ISERROR(VLOOKUP($A27,'[1]liste reference'!$B$7:$D$892,1,0)),"",VLOOKUP($A27,'[1]liste reference'!$B$7:$D$892,1,0)),VLOOKUP($A27,'[1]liste reference'!$A$7:$D$892,2,0))</f>
        <v>Spirogyra sp.</v>
      </c>
      <c r="E27" s="231" t="e">
        <f>IF(D27="",,VLOOKUP(D27,D$22:D26,1,0))</f>
        <v>#N/A</v>
      </c>
      <c r="F27" s="232">
        <f t="shared" si="1"/>
        <v>0.001</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Spirogyra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1147</v>
      </c>
      <c r="Q27" s="221">
        <f t="shared" si="3"/>
        <v>0.001</v>
      </c>
      <c r="R27" s="222">
        <f t="shared" si="4"/>
        <v>1</v>
      </c>
      <c r="S27" s="222">
        <f t="shared" si="5"/>
        <v>10</v>
      </c>
      <c r="T27" s="222">
        <f t="shared" si="6"/>
        <v>10</v>
      </c>
      <c r="U27" s="236">
        <f t="shared" si="7"/>
        <v>1</v>
      </c>
      <c r="V27" s="223">
        <v>1</v>
      </c>
      <c r="W27" s="224" t="s">
        <v>53</v>
      </c>
      <c r="Y27" s="225" t="str">
        <f>IF(A27="new.cod","NEWCOD",IF(AND((Z27=""),ISTEXT(A27)),A27,IF(Z27="","",INDEX('[1]liste reference'!$A$7:$A$892,Z27))))</f>
        <v>SPISPX</v>
      </c>
      <c r="Z27" s="8">
        <f>IF(ISERROR(MATCH(A27,'[1]liste reference'!$A$7:$A$892,0)),IF(ISERROR(MATCH(A27,'[1]liste reference'!$B$7:$B$892,0)),"",(MATCH(A27,'[1]liste reference'!$B$7:$B$892,0))),(MATCH(A27,'[1]liste reference'!$A$7:$A$892,0)))</f>
        <v>815</v>
      </c>
      <c r="AA27" s="226"/>
      <c r="AB27" s="227"/>
      <c r="AC27" s="227"/>
      <c r="BC27" s="8">
        <f t="shared" si="8"/>
        <v>1</v>
      </c>
    </row>
    <row r="28" spans="1:55" ht="12.75">
      <c r="A28" s="228" t="s">
        <v>82</v>
      </c>
      <c r="B28" s="229"/>
      <c r="C28" s="230">
        <v>0.05387078651685393</v>
      </c>
      <c r="D28" s="231" t="str">
        <f>IF(ISERROR(VLOOKUP($A28,'[1]liste reference'!$A$7:$D$892,2,0)),IF(ISERROR(VLOOKUP($A28,'[1]liste reference'!$B$7:$D$892,1,0)),"",VLOOKUP($A28,'[1]liste reference'!$B$7:$D$892,1,0)),VLOOKUP($A28,'[1]liste reference'!$A$7:$D$892,2,0))</f>
        <v>Cinclidotus danubicus</v>
      </c>
      <c r="E28" s="231" t="e">
        <f>IF(D28="",,VLOOKUP(D28,D$22:D27,1,0))</f>
        <v>#N/A</v>
      </c>
      <c r="F28" s="232">
        <f t="shared" si="1"/>
        <v>0.05387078651685393</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13</v>
      </c>
      <c r="J28" s="217">
        <f>IF(ISNUMBER(H28),IF(ISERROR(VLOOKUP($A28,'[1]liste reference'!$A$7:$P$892,4,0)),IF(ISERROR(VLOOKUP($A28,'[1]liste reference'!$B$7:$P$892,3,0)),"",VLOOKUP($A28,'[1]liste reference'!$B$7:$P$892,3,0)),VLOOKUP($A28,'[1]liste reference'!$A$7:$P$892,4,0)),"")</f>
        <v>3</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Cinclidotus danubicus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1319</v>
      </c>
      <c r="Q28" s="221">
        <f t="shared" si="3"/>
        <v>0.05387078651685393</v>
      </c>
      <c r="R28" s="222">
        <f t="shared" si="4"/>
        <v>1</v>
      </c>
      <c r="S28" s="222">
        <f t="shared" si="5"/>
        <v>13</v>
      </c>
      <c r="T28" s="222">
        <f t="shared" si="6"/>
        <v>39</v>
      </c>
      <c r="U28" s="236">
        <f t="shared" si="7"/>
        <v>3</v>
      </c>
      <c r="V28" s="223">
        <v>3</v>
      </c>
      <c r="W28" s="224" t="s">
        <v>53</v>
      </c>
      <c r="Y28" s="225" t="str">
        <f>IF(A28="new.cod","NEWCOD",IF(AND((Z28=""),ISTEXT(A28)),A28,IF(Z28="","",INDEX('[1]liste reference'!$A$7:$A$892,Z28))))</f>
        <v>CINDAN</v>
      </c>
      <c r="Z28" s="8">
        <f>IF(ISERROR(MATCH(A28,'[1]liste reference'!$A$7:$A$892,0)),IF(ISERROR(MATCH(A28,'[1]liste reference'!$B$7:$B$892,0)),"",(MATCH(A28,'[1]liste reference'!$B$7:$B$892,0))),(MATCH(A28,'[1]liste reference'!$A$7:$A$892,0)))</f>
        <v>174</v>
      </c>
      <c r="AA28" s="226"/>
      <c r="AB28" s="227"/>
      <c r="AC28" s="227"/>
      <c r="BC28" s="8">
        <f t="shared" si="8"/>
        <v>1</v>
      </c>
    </row>
    <row r="29" spans="1:55" ht="12.75">
      <c r="A29" s="228" t="s">
        <v>53</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53</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53</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53</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53</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53</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83</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Isère</v>
      </c>
      <c r="B84" s="259" t="str">
        <f>C3</f>
        <v>Isère à Eymeux</v>
      </c>
      <c r="C84" s="260">
        <f>A4</f>
        <v>41177</v>
      </c>
      <c r="D84" s="261">
        <f>IF(ISERROR(SUM($T$23:$T$82)/SUM($U$23:$U$82)),"",SUM($T$23:$T$82)/SUM($U$23:$U$82))</f>
        <v>11.090909090909092</v>
      </c>
      <c r="E84" s="262">
        <f>N13</f>
        <v>6</v>
      </c>
      <c r="F84" s="259">
        <f>N14</f>
        <v>6</v>
      </c>
      <c r="G84" s="259">
        <f>N15</f>
        <v>3</v>
      </c>
      <c r="H84" s="259">
        <f>N16</f>
        <v>2</v>
      </c>
      <c r="I84" s="259">
        <f>N17</f>
        <v>1</v>
      </c>
      <c r="J84" s="263">
        <f>N8</f>
        <v>10.833333333333334</v>
      </c>
      <c r="K84" s="261">
        <f>N9</f>
        <v>2.639444385977222</v>
      </c>
      <c r="L84" s="262">
        <f>N10</f>
        <v>6</v>
      </c>
      <c r="M84" s="262">
        <f>N11</f>
        <v>13</v>
      </c>
      <c r="N84" s="261">
        <f>O8</f>
        <v>1.6666666666666667</v>
      </c>
      <c r="O84" s="261">
        <f>O9</f>
        <v>0.8164965809277259</v>
      </c>
      <c r="P84" s="262">
        <f>O10</f>
        <v>1</v>
      </c>
      <c r="Q84" s="262">
        <f>O11</f>
        <v>3</v>
      </c>
      <c r="R84" s="262">
        <f>F21</f>
        <v>0.4552162921348315</v>
      </c>
      <c r="S84" s="262">
        <f>K11</f>
        <v>0</v>
      </c>
      <c r="T84" s="262">
        <f>K12</f>
        <v>5</v>
      </c>
      <c r="U84" s="262">
        <f>K13</f>
        <v>1</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84</v>
      </c>
      <c r="R86" s="8"/>
      <c r="S86" s="223"/>
      <c r="T86" s="8"/>
      <c r="U86" s="8"/>
      <c r="V86" s="8"/>
    </row>
    <row r="87" spans="16:22" ht="12.75" hidden="1">
      <c r="P87" s="8"/>
      <c r="Q87" s="8" t="s">
        <v>85</v>
      </c>
      <c r="R87" s="8"/>
      <c r="S87" s="223">
        <f>VLOOKUP(MAX($S$23:$S$82),($S$23:$U$82),1,0)</f>
        <v>13</v>
      </c>
      <c r="T87" s="8"/>
      <c r="U87" s="8"/>
      <c r="V87" s="8"/>
    </row>
    <row r="88" spans="16:22" ht="12.75" hidden="1">
      <c r="P88" s="8"/>
      <c r="Q88" s="8" t="s">
        <v>86</v>
      </c>
      <c r="R88" s="8"/>
      <c r="S88" s="223">
        <f>VLOOKUP((S87),($S$23:$U$82),2,0)</f>
        <v>26</v>
      </c>
      <c r="T88" s="8"/>
      <c r="U88" s="8"/>
      <c r="V88" s="8"/>
    </row>
    <row r="89" spans="17:20" ht="12.75">
      <c r="Q89" s="8" t="s">
        <v>87</v>
      </c>
      <c r="R89" s="8"/>
      <c r="S89" s="223">
        <f>VLOOKUP((S87),($S$23:$U$82),3,0)</f>
        <v>2</v>
      </c>
      <c r="T89" s="8"/>
    </row>
    <row r="90" spans="17:20" ht="12.75">
      <c r="Q90" s="8" t="s">
        <v>88</v>
      </c>
      <c r="R90" s="8"/>
      <c r="S90" s="268">
        <f>IF(ISERROR(SUM($T$23:$T$82)/SUM($U$23:$U$82)),"",(SUM($T$23:$T$82)-S88)/(SUM($U$23:$U$82)-S89))</f>
        <v>10.666666666666666</v>
      </c>
      <c r="T90" s="8"/>
    </row>
    <row r="91" spans="17:21" ht="12.75">
      <c r="Q91" s="222" t="s">
        <v>89</v>
      </c>
      <c r="R91" s="222"/>
      <c r="S91" s="222" t="str">
        <f>INDEX('[1]liste reference'!$A$7:$A$892,$T$91)</f>
        <v>PHOSPX</v>
      </c>
      <c r="T91" s="8">
        <f>IF(ISERROR(MATCH($S$93,'[1]liste reference'!$A$7:$A$892,0)),MATCH($S$93,'[1]liste reference'!$B$7:$B$892,0),(MATCH($S$93,'[1]liste reference'!$A$7:$A$892,0)))</f>
        <v>570</v>
      </c>
      <c r="U91" s="257"/>
    </row>
    <row r="92" spans="17:20" ht="12.75">
      <c r="Q92" s="8" t="s">
        <v>90</v>
      </c>
      <c r="R92" s="8"/>
      <c r="S92" s="8">
        <f>MATCH(S87,$S$23:$S$82,0)</f>
        <v>4</v>
      </c>
      <c r="T92" s="8"/>
    </row>
    <row r="93" spans="17:20" ht="12.75">
      <c r="Q93" s="222" t="s">
        <v>91</v>
      </c>
      <c r="R93" s="8"/>
      <c r="S93" s="222" t="str">
        <f>INDEX($A$23:$A$82,$S$92)</f>
        <v>PHOSPX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'/tmp/tmpfoymkfxi\[12001_ISEYM_25-09-12_IBMR_LF.xls]liste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2013-01-29T07:42:19Z</dcterms:created>
  <dcterms:modified xsi:type="dcterms:W3CDTF">2013-01-29T07:42:20Z</dcterms:modified>
  <cp:category/>
  <cp:version/>
  <cp:contentType/>
  <cp:contentStatus/>
</cp:coreProperties>
</file>