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<sst xmlns="http://schemas.openxmlformats.org/spreadsheetml/2006/main" count="219" uniqueCount="90">
  <si>
    <t>Relevés floristiques aquatiques - IBMR</t>
  </si>
  <si>
    <t xml:space="preserve">Formulaire modèle GIS Macrophytes v 3.3 - novembre 2013  </t>
  </si>
  <si>
    <t>SAGE</t>
  </si>
  <si>
    <t>L.BOURGOIN M.SCHNEIDER</t>
  </si>
  <si>
    <t>conforme AFNOR T90-395 oct. 2003</t>
  </si>
  <si>
    <t>Savasse</t>
  </si>
  <si>
    <t>Savasse à St Michel</t>
  </si>
  <si>
    <t>06148800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</si>
  <si>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</si>
  <si>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</si>
  <si>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</si>
  <si>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</si>
  <si>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</si>
  <si>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</si>
  <si>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</si>
  <si>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</si>
  <si>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</si>
  <si>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</si>
  <si>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</si>
  <si>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plat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</si>
  <si>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</si>
  <si>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</si>
  <si>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</si>
  <si>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</si>
  <si>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</si>
  <si>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</si>
  <si>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</si>
  <si>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</si>
  <si>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</si>
  <si>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</si>
  <si>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</si>
  <si>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</si>
  <si>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</si>
  <si>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</si>
  <si>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</si>
  <si>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</si>
  <si>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</si>
  <si>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</si>
  <si>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</si>
  <si>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</si>
  <si>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</si>
  <si>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</si>
  <si>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</si>
  <si>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</si>
  <si>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</si>
  <si>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</si>
  <si>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</si>
  <si>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</si>
  <si>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</si>
  <si>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</si>
  <si>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</si>
  <si>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</si>
  <si>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</si>
  <si>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</si>
  <si>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</si>
  <si>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</si>
  <si>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</si>
  <si>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</si>
  <si>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</si>
  <si>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</si>
  <si>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</si>
  <si>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</si>
  <si>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</si>
  <si>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</si>
  <si>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</si>
  <si>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</si>
  <si>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</si>
  <si>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</si>
  <si>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</si>
  <si>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</si>
  <si>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</si>
  <si>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</si>
  <si>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</si>
  <si>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</si>
  <si>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</si>
  <si>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</si>
  <si>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</si>
  <si>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</si>
  <si>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</si>
  <si>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</si>
  <si>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PHOSPX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</si>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</sst>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7" fillId="35" borderId="26" xfId="0" applyFont="1" applyFill="1" applyBorder="1" applyAlignment="1" applyProtection="1">
      <alignment horizontal="center" vertical="top"/>
      <protection hidden="1"/>
    </xf>
    <xf numFmtId="0" fontId="18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39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9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1" fillId="39" borderId="22" xfId="0" applyFont="1" applyFill="1" applyBorder="1" applyAlignment="1" applyProtection="1">
      <alignment horizontal="left" vertical="top"/>
      <protection hidden="1"/>
    </xf>
    <xf numFmtId="0" fontId="21" fillId="39" borderId="41" xfId="0" applyFont="1" applyFill="1" applyBorder="1" applyAlignment="1" applyProtection="1">
      <alignment horizontal="left" vertical="top"/>
      <protection hidden="1"/>
    </xf>
    <xf numFmtId="0" fontId="21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2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3" fillId="38" borderId="11" xfId="0" applyNumberFormat="1" applyFont="1" applyFill="1" applyBorder="1" applyAlignment="1" applyProtection="1">
      <alignment horizontal="right"/>
      <protection hidden="1"/>
    </xf>
    <xf numFmtId="165" fontId="23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39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24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0" xfId="0" applyNumberFormat="1" applyFont="1" applyFill="1" applyBorder="1" applyAlignment="1" applyProtection="1">
      <alignment horizontal="left"/>
      <protection hidden="1"/>
    </xf>
    <xf numFmtId="0" fontId="7" fillId="40" borderId="51" xfId="0" applyFont="1" applyFill="1" applyBorder="1" applyAlignment="1" applyProtection="1">
      <alignment/>
      <protection hidden="1"/>
    </xf>
    <xf numFmtId="2" fontId="0" fillId="3" borderId="52" xfId="0" applyNumberFormat="1" applyFont="1" applyFill="1" applyBorder="1" applyAlignment="1" applyProtection="1">
      <alignment horizontal="center"/>
      <protection locked="0"/>
    </xf>
    <xf numFmtId="2" fontId="0" fillId="3" borderId="53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20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1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5" xfId="0" applyFont="1" applyFill="1" applyBorder="1" applyAlignment="1" applyProtection="1">
      <alignment horizontal="right" vertical="top"/>
      <protection hidden="1"/>
    </xf>
    <xf numFmtId="166" fontId="0" fillId="39" borderId="56" xfId="0" applyNumberFormat="1" applyFont="1" applyFill="1" applyBorder="1" applyAlignment="1" applyProtection="1">
      <alignment horizontal="right" vertical="top"/>
      <protection hidden="1"/>
    </xf>
    <xf numFmtId="0" fontId="0" fillId="39" borderId="56" xfId="0" applyFont="1" applyFill="1" applyBorder="1" applyAlignment="1" applyProtection="1">
      <alignment horizontal="left" vertical="top"/>
      <protection hidden="1"/>
    </xf>
    <xf numFmtId="0" fontId="7" fillId="40" borderId="57" xfId="0" applyFont="1" applyFill="1" applyBorder="1" applyAlignment="1" applyProtection="1">
      <alignment/>
      <protection hidden="1"/>
    </xf>
    <xf numFmtId="2" fontId="0" fillId="3" borderId="58" xfId="0" applyNumberFormat="1" applyFont="1" applyFill="1" applyBorder="1" applyAlignment="1" applyProtection="1">
      <alignment horizontal="center"/>
      <protection locked="0"/>
    </xf>
    <xf numFmtId="2" fontId="0" fillId="3" borderId="59" xfId="0" applyNumberFormat="1" applyFont="1" applyFill="1" applyBorder="1" applyAlignment="1" applyProtection="1">
      <alignment horizontal="center"/>
      <protection locked="0"/>
    </xf>
    <xf numFmtId="0" fontId="14" fillId="39" borderId="6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38" borderId="10" xfId="0" applyFont="1" applyFill="1" applyBorder="1" applyAlignment="1" applyProtection="1">
      <alignment/>
      <protection hidden="1"/>
    </xf>
    <xf numFmtId="0" fontId="25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0" fontId="27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4" xfId="0" applyNumberFormat="1" applyFont="1" applyFill="1" applyBorder="1" applyAlignment="1" applyProtection="1">
      <alignment horizontal="left"/>
      <protection hidden="1"/>
    </xf>
    <xf numFmtId="0" fontId="0" fillId="39" borderId="65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10" fillId="34" borderId="66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6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2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7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5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8" fillId="40" borderId="0" xfId="0" applyFont="1" applyFill="1" applyBorder="1" applyAlignment="1" applyProtection="1">
      <alignment/>
      <protection hidden="1"/>
    </xf>
    <xf numFmtId="0" fontId="28" fillId="40" borderId="22" xfId="0" applyFont="1" applyFill="1" applyBorder="1" applyAlignment="1" applyProtection="1">
      <alignment/>
      <protection hidden="1"/>
    </xf>
    <xf numFmtId="0" fontId="28" fillId="35" borderId="40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7" fillId="40" borderId="27" xfId="0" applyFont="1" applyFill="1" applyBorder="1" applyAlignment="1" applyProtection="1">
      <alignment horizontal="center"/>
      <protection hidden="1"/>
    </xf>
    <xf numFmtId="165" fontId="27" fillId="40" borderId="67" xfId="0" applyNumberFormat="1" applyFont="1" applyFill="1" applyBorder="1" applyAlignment="1" applyProtection="1">
      <alignment horizontal="center"/>
      <protection hidden="1"/>
    </xf>
    <xf numFmtId="165" fontId="0" fillId="40" borderId="67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20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8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9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0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 applyProtection="1">
      <alignment/>
      <protection hidden="1"/>
    </xf>
    <xf numFmtId="0" fontId="0" fillId="38" borderId="72" xfId="0" applyFont="1" applyFill="1" applyBorder="1" applyAlignment="1" applyProtection="1">
      <alignment horizontal="left"/>
      <protection hidden="1"/>
    </xf>
    <xf numFmtId="0" fontId="27" fillId="38" borderId="73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7" fillId="34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1" xfId="0" applyNumberFormat="1" applyFont="1" applyFill="1" applyBorder="1" applyAlignment="1" applyProtection="1">
      <alignment/>
      <protection locked="0"/>
    </xf>
    <xf numFmtId="2" fontId="0" fillId="37" borderId="73" xfId="0" applyNumberFormat="1" applyFont="1" applyFill="1" applyBorder="1" applyAlignment="1" applyProtection="1">
      <alignment/>
      <protection locked="0"/>
    </xf>
    <xf numFmtId="2" fontId="0" fillId="37" borderId="53" xfId="0" applyNumberFormat="1" applyFont="1" applyFill="1" applyBorder="1" applyAlignment="1" applyProtection="1">
      <alignment/>
      <protection locked="0"/>
    </xf>
    <xf numFmtId="0" fontId="0" fillId="34" borderId="53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28" fillId="0" borderId="0" xfId="0" applyNumberFormat="1" applyFont="1" applyAlignment="1" applyProtection="1">
      <alignment/>
      <protection hidden="1"/>
    </xf>
    <xf numFmtId="0" fontId="0" fillId="40" borderId="75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1" xfId="0" applyFill="1" applyBorder="1" applyAlignment="1">
      <alignment/>
    </xf>
    <xf numFmtId="0" fontId="27" fillId="38" borderId="73" xfId="0" applyFont="1" applyFill="1" applyBorder="1" applyAlignment="1">
      <alignment horizontal="right"/>
    </xf>
    <xf numFmtId="0" fontId="11" fillId="38" borderId="74" xfId="0" applyNumberFormat="1" applyFont="1" applyFill="1" applyBorder="1" applyAlignment="1" applyProtection="1">
      <alignment/>
      <protection hidden="1"/>
    </xf>
    <xf numFmtId="1" fontId="29" fillId="34" borderId="76" xfId="0" applyNumberFormat="1" applyFont="1" applyFill="1" applyBorder="1" applyAlignment="1" applyProtection="1">
      <alignment horizontal="center"/>
      <protection hidden="1"/>
    </xf>
    <xf numFmtId="0" fontId="11" fillId="38" borderId="70" xfId="0" applyNumberFormat="1" applyFont="1" applyFill="1" applyBorder="1" applyAlignment="1" applyProtection="1">
      <alignment/>
      <protection hidden="1"/>
    </xf>
    <xf numFmtId="1" fontId="29" fillId="34" borderId="7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1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63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3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79" xfId="0" applyFill="1" applyBorder="1" applyAlignment="1" applyProtection="1">
      <alignment/>
      <protection hidden="1"/>
    </xf>
    <xf numFmtId="0" fontId="0" fillId="38" borderId="79" xfId="0" applyFill="1" applyBorder="1" applyAlignment="1">
      <alignment/>
    </xf>
    <xf numFmtId="0" fontId="27" fillId="38" borderId="77" xfId="0" applyFont="1" applyFill="1" applyBorder="1" applyAlignment="1" applyProtection="1">
      <alignment horizontal="right"/>
      <protection hidden="1"/>
    </xf>
    <xf numFmtId="0" fontId="27" fillId="38" borderId="77" xfId="0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1" borderId="81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83" xfId="0" applyNumberFormat="1" applyFont="1" applyFill="1" applyBorder="1" applyAlignment="1" applyProtection="1">
      <alignment horizontal="center"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8.emf" /><Relationship Id="rId9" Type="http://schemas.openxmlformats.org/officeDocument/2006/relationships/image" Target="../media/image1.emf" /><Relationship Id="rId10" Type="http://schemas.openxmlformats.org/officeDocument/2006/relationships/image" Target="../media/image11.emf" /><Relationship Id="rId11" Type="http://schemas.openxmlformats.org/officeDocument/2006/relationships/image" Target="../media/image9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0IGMELVV\14097_SAMIC_17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4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11.2</v>
      </c>
      <c r="M5" s="52"/>
      <c r="N5" s="53" t="s">
        <v>16</v>
      </c>
      <c r="O5" s="54">
        <v>10.666666666666666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50</v>
      </c>
      <c r="C7" s="65">
        <v>50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10.333333333333334</v>
      </c>
      <c r="O8" s="81">
        <f>IF(ISERROR(AVERAGE(J23:J82)),"      -",AVERAGE(J23:J82))</f>
        <v>1.3333333333333333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0.32</v>
      </c>
      <c r="C9" s="84">
        <v>0</v>
      </c>
      <c r="D9" s="85"/>
      <c r="E9" s="85"/>
      <c r="F9" s="86">
        <f>($B9*$B$7+$C9*$C$7)/100</f>
        <v>0.16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3.0912061651652345</v>
      </c>
      <c r="O9" s="81">
        <f>IF(ISERROR(STDEVP(J23:J82)),"      -",STDEVP(J23:J82))</f>
        <v>0.4714045207910317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6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>($B11*$B$7+$C11*$C$7)/100</f>
        <v>0</v>
      </c>
      <c r="G11" s="110"/>
      <c r="H11" s="66"/>
      <c r="I11" s="272" t="s">
        <v>36</v>
      </c>
      <c r="J11" s="273"/>
      <c r="K11" s="111">
        <f>COUNTIF($G$23:$G$82,"=HET")</f>
        <v>0</v>
      </c>
      <c r="L11" s="112"/>
      <c r="M11" s="102" t="s">
        <v>37</v>
      </c>
      <c r="N11" s="103">
        <f>MAX(I23:I82)</f>
        <v>13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0.11</v>
      </c>
      <c r="C12" s="115"/>
      <c r="D12" s="108"/>
      <c r="E12" s="108"/>
      <c r="F12" s="109">
        <f>($B12*$B$7+$C12*$C$7)/100</f>
        <v>0.055</v>
      </c>
      <c r="G12" s="116"/>
      <c r="H12" s="66"/>
      <c r="I12" s="274" t="s">
        <v>39</v>
      </c>
      <c r="J12" s="265"/>
      <c r="K12" s="111">
        <f>COUNTIF($G$23:$G$82,"=ALG")</f>
        <v>2</v>
      </c>
      <c r="L12" s="119"/>
      <c r="M12" s="120"/>
      <c r="N12" s="121" t="s">
        <v>33</v>
      </c>
      <c r="O12" s="122"/>
      <c r="P12" s="123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0.21</v>
      </c>
      <c r="C13" s="115"/>
      <c r="D13" s="108"/>
      <c r="E13" s="108"/>
      <c r="F13" s="109">
        <f>($B13*$B$7+$C13*$C$7)/100</f>
        <v>0.105</v>
      </c>
      <c r="G13" s="116"/>
      <c r="H13" s="66"/>
      <c r="I13" s="264" t="s">
        <v>41</v>
      </c>
      <c r="J13" s="265"/>
      <c r="K13" s="111">
        <f>COUNTIF($G$23:$G$82,"=BRm")+COUNTIF($G$23:$G$82,"=BRh")</f>
        <v>1</v>
      </c>
      <c r="L13" s="112"/>
      <c r="M13" s="124" t="s">
        <v>42</v>
      </c>
      <c r="N13" s="125">
        <f>COUNTIF(F23:F82,"&gt;0")</f>
        <v>3</v>
      </c>
      <c r="O13" s="126"/>
      <c r="P13" s="127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>($B14*$B$7+$C14*$C$7)/100</f>
        <v>0</v>
      </c>
      <c r="G14" s="116"/>
      <c r="H14" s="66"/>
      <c r="I14" s="264" t="s">
        <v>44</v>
      </c>
      <c r="J14" s="265"/>
      <c r="K14" s="111">
        <f>COUNTIF($G$23:$G$82,"=PTE")+COUNTIF($G$23:$G$82,"=LIC")</f>
        <v>0</v>
      </c>
      <c r="L14" s="112"/>
      <c r="M14" s="128" t="s">
        <v>45</v>
      </c>
      <c r="N14" s="129">
        <f>COUNTIF($I$23:$I$82,"&gt;-1")</f>
        <v>3</v>
      </c>
      <c r="O14" s="130"/>
      <c r="P14" s="127"/>
      <c r="Q14" s="8"/>
      <c r="R14" s="8"/>
      <c r="S14" s="8"/>
      <c r="T14" s="8"/>
      <c r="U14" s="8"/>
      <c r="V14" s="8"/>
    </row>
    <row r="15" spans="1:22" ht="12.75">
      <c r="A15" s="131" t="s">
        <v>46</v>
      </c>
      <c r="B15" s="132"/>
      <c r="C15" s="133"/>
      <c r="D15" s="108"/>
      <c r="E15" s="108"/>
      <c r="F15" s="109">
        <f>($B15*$B$7+$C15*$C$7)/100</f>
        <v>0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0</v>
      </c>
      <c r="L15" s="112"/>
      <c r="M15" s="134" t="s">
        <v>48</v>
      </c>
      <c r="N15" s="135">
        <f>COUNTIF(J23:J82,"=1")</f>
        <v>2</v>
      </c>
      <c r="O15" s="136"/>
      <c r="P15" s="127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7"/>
      <c r="E16" s="137"/>
      <c r="F16" s="138"/>
      <c r="G16" s="138">
        <f>($B16*$B$7+$C16*$C$7)/100</f>
        <v>0</v>
      </c>
      <c r="H16" s="66"/>
      <c r="I16" s="117"/>
      <c r="J16" s="118"/>
      <c r="K16" s="118"/>
      <c r="L16" s="112"/>
      <c r="M16" s="134" t="s">
        <v>50</v>
      </c>
      <c r="N16" s="135">
        <f>COUNTIF(J23:J82,"=2")</f>
        <v>1</v>
      </c>
      <c r="O16" s="136"/>
      <c r="P16" s="127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0.32</v>
      </c>
      <c r="C17" s="115"/>
      <c r="D17" s="108"/>
      <c r="E17" s="108"/>
      <c r="F17" s="139"/>
      <c r="G17" s="109">
        <f>($B17*$B$7+$C17*$C$7)/100</f>
        <v>0.16</v>
      </c>
      <c r="H17" s="66"/>
      <c r="I17" s="264"/>
      <c r="J17" s="265"/>
      <c r="K17" s="118"/>
      <c r="L17" s="112"/>
      <c r="M17" s="134" t="s">
        <v>52</v>
      </c>
      <c r="N17" s="135">
        <f>COUNTIF(J23:J82,"=3")</f>
        <v>0</v>
      </c>
      <c r="O17" s="136"/>
      <c r="P17" s="127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/>
      <c r="C18" s="143"/>
      <c r="D18" s="108"/>
      <c r="E18" s="144" t="s">
        <v>54</v>
      </c>
      <c r="F18" s="139"/>
      <c r="G18" s="109">
        <f>($B18*$B$7+$C18*$C$7)/100</f>
        <v>0</v>
      </c>
      <c r="H18" s="66"/>
      <c r="I18" s="264"/>
      <c r="J18" s="265"/>
      <c r="K18" s="118"/>
      <c r="L18" s="112"/>
      <c r="M18" s="145"/>
      <c r="N18" s="145"/>
      <c r="O18" s="136"/>
      <c r="P18" s="146"/>
      <c r="Q18" s="8"/>
      <c r="R18" s="8"/>
      <c r="S18" s="8"/>
      <c r="T18" s="8"/>
      <c r="U18" s="8"/>
      <c r="V18" s="8" t="s">
        <v>55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0.16</v>
      </c>
      <c r="G19" s="153">
        <f>SUM(G16:G18)</f>
        <v>0.16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55</v>
      </c>
    </row>
    <row r="20" spans="1:23" ht="12.75">
      <c r="A20" s="161" t="s">
        <v>56</v>
      </c>
      <c r="B20" s="162">
        <f>SUM(B23:B82)</f>
        <v>0.32</v>
      </c>
      <c r="C20" s="163">
        <f>SUM(C23:C82)</f>
        <v>0</v>
      </c>
      <c r="D20" s="164"/>
      <c r="E20" s="165" t="s">
        <v>54</v>
      </c>
      <c r="F20" s="166">
        <f>($B20*$B$7+$C20*$C$7)/100</f>
        <v>0.16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57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58</v>
      </c>
      <c r="B21" s="176">
        <f>B20*B7/100</f>
        <v>0.16</v>
      </c>
      <c r="C21" s="176">
        <f>C20*C7/100</f>
        <v>0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0.16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59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60</v>
      </c>
      <c r="B22" s="187" t="s">
        <v>61</v>
      </c>
      <c r="C22" s="188" t="s">
        <v>61</v>
      </c>
      <c r="D22" s="137"/>
      <c r="E22" s="137"/>
      <c r="F22" s="189" t="s">
        <v>62</v>
      </c>
      <c r="G22" s="190" t="s">
        <v>63</v>
      </c>
      <c r="H22" s="137"/>
      <c r="I22" s="191" t="s">
        <v>64</v>
      </c>
      <c r="J22" s="191" t="s">
        <v>65</v>
      </c>
      <c r="K22" s="266" t="s">
        <v>66</v>
      </c>
      <c r="L22" s="266"/>
      <c r="M22" s="266"/>
      <c r="N22" s="266"/>
      <c r="O22" s="267"/>
      <c r="P22" s="192" t="s">
        <v>67</v>
      </c>
      <c r="Q22" s="193" t="s">
        <v>68</v>
      </c>
      <c r="R22" s="194" t="s">
        <v>69</v>
      </c>
      <c r="S22" s="195" t="s">
        <v>70</v>
      </c>
      <c r="T22" s="196" t="s">
        <v>71</v>
      </c>
      <c r="U22" s="197" t="s">
        <v>72</v>
      </c>
      <c r="V22" s="195" t="s">
        <v>73</v>
      </c>
      <c r="Y22" s="8" t="s">
        <v>74</v>
      </c>
      <c r="Z22" s="8" t="s">
        <v>75</v>
      </c>
      <c r="AA22" s="198" t="s">
        <v>76</v>
      </c>
      <c r="AB22" s="198" t="s">
        <v>77</v>
      </c>
      <c r="AC22" s="199" t="s">
        <v>78</v>
      </c>
    </row>
    <row r="23" spans="1:54" ht="12.75">
      <c r="A23" s="200" t="s">
        <v>79</v>
      </c>
      <c r="B23" s="201">
        <v>0.1</v>
      </c>
      <c r="C23" s="202">
        <v>0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3" t="e">
        <f>IF(D23="",,VLOOKUP(D23,D$22:D22,1,0))</f>
        <v>#N/A</v>
      </c>
      <c r="F23" s="204">
        <f aca="true" t="shared" si="0" ref="F23:F82">($B23*$B$7+$C23*$C$7)/100</f>
        <v>0.05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1" ref="Q23:Q82">IF(ISTEXT(H23),"",(B23*$B$7/100)+(C23*$C$7/100))</f>
        <v>0.05</v>
      </c>
      <c r="R23" s="212">
        <f aca="true" t="shared" si="2" ref="R23:R82">IF(OR(ISTEXT(H23),Q23=0),"",IF(Q23&lt;0.1,1,IF(Q23&lt;1,2,IF(Q23&lt;10,3,IF(Q23&lt;50,4,IF(Q23&gt;=50,5,""))))))</f>
        <v>1</v>
      </c>
      <c r="S23" s="212">
        <f aca="true" t="shared" si="3" ref="S23:S82">IF(ISERROR(R23*I23),0,R23*I23)</f>
        <v>6</v>
      </c>
      <c r="T23" s="212">
        <f aca="true" t="shared" si="4" ref="T23:T82">IF(ISERROR(R23*I23*J23),0,R23*I23*J23)</f>
        <v>6</v>
      </c>
      <c r="U23" s="212">
        <f aca="true" t="shared" si="5" ref="U23:U82">IF(ISERROR(R23*J23),0,R23*J23)</f>
        <v>1</v>
      </c>
      <c r="V23" s="213">
        <f aca="true" t="shared" si="6" ref="V23:V8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6"/>
      <c r="AB23" s="217"/>
      <c r="AC23" s="217"/>
      <c r="BB23" s="8">
        <f aca="true" t="shared" si="7" ref="BB23:BB82">IF(A23="","",1)</f>
        <v>1</v>
      </c>
    </row>
    <row r="24" spans="1:54" ht="12.75">
      <c r="A24" s="218" t="s">
        <v>80</v>
      </c>
      <c r="B24" s="219">
        <v>0.01</v>
      </c>
      <c r="C24" s="220">
        <v>0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Phormidium sp.</v>
      </c>
      <c r="E24" s="221" t="e">
        <f>IF(D24="",,VLOOKUP(D24,D$22:D23,1,0))</f>
        <v>#N/A</v>
      </c>
      <c r="F24" s="222">
        <f t="shared" si="0"/>
        <v>0.005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13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Phormidium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6414</v>
      </c>
      <c r="Q24" s="211">
        <f t="shared" si="1"/>
        <v>0.005</v>
      </c>
      <c r="R24" s="212">
        <f t="shared" si="2"/>
        <v>1</v>
      </c>
      <c r="S24" s="212">
        <f t="shared" si="3"/>
        <v>13</v>
      </c>
      <c r="T24" s="212">
        <f t="shared" si="4"/>
        <v>26</v>
      </c>
      <c r="U24" s="224">
        <f t="shared" si="5"/>
        <v>2</v>
      </c>
      <c r="V24" s="213">
        <f t="shared" si="6"/>
      </c>
      <c r="W24" s="214" t="s">
        <v>55</v>
      </c>
      <c r="Y24" s="215" t="str">
        <f>IF(A24="new.cod","NEWCOD",IF(AND((Z24=""),ISTEXT(A24)),A24,IF(Z24="","",INDEX('[1]liste reference'!$A$8:$A$904,Z24))))</f>
        <v>PHOSPX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57</v>
      </c>
      <c r="AA24" s="216"/>
      <c r="AB24" s="217"/>
      <c r="AC24" s="217"/>
      <c r="BB24" s="8">
        <f t="shared" si="7"/>
        <v>1</v>
      </c>
    </row>
    <row r="25" spans="1:54" ht="12.75">
      <c r="A25" s="218" t="s">
        <v>16</v>
      </c>
      <c r="B25" s="219">
        <v>0.21000000000000002</v>
      </c>
      <c r="C25" s="220">
        <v>0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Rhynchostegium riparioides</v>
      </c>
      <c r="E25" s="221" t="e">
        <f>IF(D25="",,VLOOKUP(D25,D$22:D24,1,0))</f>
        <v>#N/A</v>
      </c>
      <c r="F25" s="222">
        <f t="shared" si="0"/>
        <v>0.10500000000000002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12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Rhynchostegium riparioides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1268</v>
      </c>
      <c r="Q25" s="211">
        <f t="shared" si="1"/>
        <v>0.10500000000000002</v>
      </c>
      <c r="R25" s="212">
        <f t="shared" si="2"/>
        <v>2</v>
      </c>
      <c r="S25" s="212">
        <f t="shared" si="3"/>
        <v>24</v>
      </c>
      <c r="T25" s="212">
        <f t="shared" si="4"/>
        <v>24</v>
      </c>
      <c r="U25" s="224">
        <f t="shared" si="5"/>
        <v>2</v>
      </c>
      <c r="V25" s="213">
        <f t="shared" si="6"/>
      </c>
      <c r="W25" s="214" t="s">
        <v>55</v>
      </c>
      <c r="Y25" s="215" t="str">
        <f>IF(A25="new.cod","NEWCOD",IF(AND((Z25=""),ISTEXT(A25)),A25,IF(Z25="","",INDEX('[1]liste reference'!$A$8:$A$904,Z25))))</f>
        <v>RHYRIP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252</v>
      </c>
      <c r="AA25" s="216"/>
      <c r="AB25" s="217"/>
      <c r="AC25" s="217"/>
      <c r="BB25" s="8">
        <f t="shared" si="7"/>
        <v>1</v>
      </c>
    </row>
    <row r="26" spans="1:54" ht="12.75">
      <c r="A26" s="218" t="s">
        <v>55</v>
      </c>
      <c r="B26" s="219"/>
      <c r="C26" s="220"/>
      <c r="D26" s="203">
        <f>IF(ISERROR(VLOOKUP($A26,'[1]liste reference'!$A$7:$D$904,2,0)),IF(ISERROR(VLOOKUP($A26,'[1]liste reference'!$B$7:$D$904,1,0)),"",VLOOKUP($A26,'[1]liste reference'!$B$7:$D$904,1,0)),VLOOKUP($A26,'[1]liste reference'!$A$7:$D$904,2,0))</f>
      </c>
      <c r="E26" s="221">
        <f>IF(D26="",,VLOOKUP(D26,D$22:D25,1,0))</f>
        <v>0</v>
      </c>
      <c r="F26" s="222">
        <f t="shared" si="0"/>
        <v>0</v>
      </c>
      <c r="G26" s="205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</c>
      <c r="H26" s="206" t="str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x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08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</c>
      <c r="Q26" s="211">
        <f t="shared" si="1"/>
      </c>
      <c r="R26" s="212">
        <f t="shared" si="2"/>
      </c>
      <c r="S26" s="212">
        <f t="shared" si="3"/>
        <v>0</v>
      </c>
      <c r="T26" s="212">
        <f t="shared" si="4"/>
        <v>0</v>
      </c>
      <c r="U26" s="224">
        <f t="shared" si="5"/>
        <v>0</v>
      </c>
      <c r="V26" s="213">
        <f t="shared" si="6"/>
      </c>
      <c r="W26" s="214" t="s">
        <v>55</v>
      </c>
      <c r="Y26" s="215">
        <f>IF(A26="new.cod","NEWCOD",IF(AND((Z26=""),ISTEXT(A26)),A26,IF(Z26="","",INDEX('[1]liste reference'!$A$8:$A$904,Z26))))</f>
      </c>
      <c r="Z26" s="8">
        <f>IF(ISERROR(MATCH(A26,'[1]liste reference'!$A$8:$A$904,0)),IF(ISERROR(MATCH(A26,'[1]liste reference'!$B$8:$B$904,0)),"",(MATCH(A26,'[1]liste reference'!$B$8:$B$904,0))),(MATCH(A26,'[1]liste reference'!$A$8:$A$904,0)))</f>
      </c>
      <c r="AA26" s="216"/>
      <c r="AB26" s="217"/>
      <c r="AC26" s="217"/>
      <c r="BB26" s="8">
        <f t="shared" si="7"/>
      </c>
    </row>
    <row r="27" spans="1:54" ht="12.75">
      <c r="A27" s="218" t="s">
        <v>55</v>
      </c>
      <c r="B27" s="219"/>
      <c r="C27" s="220"/>
      <c r="D27" s="203">
        <f>IF(ISERROR(VLOOKUP($A27,'[1]liste reference'!$A$7:$D$904,2,0)),IF(ISERROR(VLOOKUP($A27,'[1]liste reference'!$B$7:$D$904,1,0)),"",VLOOKUP($A27,'[1]liste reference'!$B$7:$D$904,1,0)),VLOOKUP($A27,'[1]liste reference'!$A$7:$D$904,2,0))</f>
      </c>
      <c r="E27" s="221">
        <f>IF(D27="",,VLOOKUP(D27,D$22:D26,1,0))</f>
        <v>0</v>
      </c>
      <c r="F27" s="222">
        <f t="shared" si="0"/>
        <v>0</v>
      </c>
      <c r="G27" s="205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</c>
      <c r="H27" s="206" t="str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x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08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</c>
      <c r="Q27" s="211">
        <f t="shared" si="1"/>
      </c>
      <c r="R27" s="212">
        <f t="shared" si="2"/>
      </c>
      <c r="S27" s="212">
        <f t="shared" si="3"/>
        <v>0</v>
      </c>
      <c r="T27" s="212">
        <f t="shared" si="4"/>
        <v>0</v>
      </c>
      <c r="U27" s="224">
        <f t="shared" si="5"/>
        <v>0</v>
      </c>
      <c r="V27" s="213">
        <f t="shared" si="6"/>
      </c>
      <c r="W27" s="225" t="s">
        <v>55</v>
      </c>
      <c r="Y27" s="215">
        <f>IF(A27="new.cod","NEWCOD",IF(AND((Z27=""),ISTEXT(A27)),A27,IF(Z27="","",INDEX('[1]liste reference'!$A$8:$A$904,Z27))))</f>
      </c>
      <c r="Z27" s="8">
        <f>IF(ISERROR(MATCH(A27,'[1]liste reference'!$A$8:$A$904,0)),IF(ISERROR(MATCH(A27,'[1]liste reference'!$B$8:$B$904,0)),"",(MATCH(A27,'[1]liste reference'!$B$8:$B$904,0))),(MATCH(A27,'[1]liste reference'!$A$8:$A$904,0)))</f>
      </c>
      <c r="AA27" s="216"/>
      <c r="AB27" s="217"/>
      <c r="AC27" s="217"/>
      <c r="BB27" s="8">
        <f t="shared" si="7"/>
      </c>
    </row>
    <row r="28" spans="1:54" ht="12.75">
      <c r="A28" s="218" t="s">
        <v>55</v>
      </c>
      <c r="B28" s="219"/>
      <c r="C28" s="220"/>
      <c r="D28" s="203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21">
        <f>IF(D28="",,VLOOKUP(D28,D$22:D27,1,0))</f>
        <v>0</v>
      </c>
      <c r="F28" s="222">
        <f t="shared" si="0"/>
        <v>0</v>
      </c>
      <c r="G28" s="205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06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08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11">
        <f t="shared" si="1"/>
      </c>
      <c r="R28" s="212">
        <f t="shared" si="2"/>
      </c>
      <c r="S28" s="212">
        <f t="shared" si="3"/>
        <v>0</v>
      </c>
      <c r="T28" s="212">
        <f t="shared" si="4"/>
        <v>0</v>
      </c>
      <c r="U28" s="224">
        <f t="shared" si="5"/>
        <v>0</v>
      </c>
      <c r="V28" s="213">
        <f t="shared" si="6"/>
      </c>
      <c r="W28" s="214" t="s">
        <v>55</v>
      </c>
      <c r="Y28" s="215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16"/>
      <c r="AB28" s="217"/>
      <c r="AC28" s="217"/>
      <c r="BB28" s="8">
        <f t="shared" si="7"/>
      </c>
    </row>
    <row r="29" spans="1:54" ht="12.75">
      <c r="A29" s="218" t="s">
        <v>55</v>
      </c>
      <c r="B29" s="219"/>
      <c r="C29" s="220"/>
      <c r="D29" s="203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21">
        <f>IF(D29="",,VLOOKUP(D29,D$22:D28,1,0))</f>
        <v>0</v>
      </c>
      <c r="F29" s="222">
        <f t="shared" si="0"/>
        <v>0</v>
      </c>
      <c r="G29" s="205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06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08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11">
        <f t="shared" si="1"/>
      </c>
      <c r="R29" s="212">
        <f t="shared" si="2"/>
      </c>
      <c r="S29" s="212">
        <f t="shared" si="3"/>
        <v>0</v>
      </c>
      <c r="T29" s="212">
        <f t="shared" si="4"/>
        <v>0</v>
      </c>
      <c r="U29" s="224">
        <f t="shared" si="5"/>
        <v>0</v>
      </c>
      <c r="V29" s="213">
        <f t="shared" si="6"/>
      </c>
      <c r="W29" s="214" t="s">
        <v>55</v>
      </c>
      <c r="X29" s="214"/>
      <c r="Y29" s="215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16"/>
      <c r="AB29" s="217"/>
      <c r="AC29" s="217"/>
      <c r="BB29" s="8">
        <f t="shared" si="7"/>
      </c>
    </row>
    <row r="30" spans="1:54" ht="12.75">
      <c r="A30" s="218" t="s">
        <v>55</v>
      </c>
      <c r="B30" s="219"/>
      <c r="C30" s="220"/>
      <c r="D30" s="20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21">
        <f>IF(D30="",,VLOOKUP(D30,D$22:D29,1,0))</f>
        <v>0</v>
      </c>
      <c r="F30" s="222">
        <f t="shared" si="0"/>
        <v>0</v>
      </c>
      <c r="G30" s="20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0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11">
        <f t="shared" si="1"/>
      </c>
      <c r="R30" s="212">
        <f t="shared" si="2"/>
      </c>
      <c r="S30" s="212">
        <f t="shared" si="3"/>
        <v>0</v>
      </c>
      <c r="T30" s="212">
        <f t="shared" si="4"/>
        <v>0</v>
      </c>
      <c r="U30" s="224">
        <f t="shared" si="5"/>
        <v>0</v>
      </c>
      <c r="V30" s="213">
        <f t="shared" si="6"/>
      </c>
      <c r="W30" s="214" t="s">
        <v>55</v>
      </c>
      <c r="Y30" s="21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16"/>
      <c r="AB30" s="217"/>
      <c r="AC30" s="217"/>
      <c r="BB30" s="8">
        <f t="shared" si="7"/>
      </c>
    </row>
    <row r="31" spans="1:54" ht="12.75">
      <c r="A31" s="218" t="s">
        <v>55</v>
      </c>
      <c r="B31" s="219"/>
      <c r="C31" s="220"/>
      <c r="D31" s="20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1">
        <f>IF(D31="",,VLOOKUP(D31,D$22:D30,1,0))</f>
        <v>0</v>
      </c>
      <c r="F31" s="222">
        <f t="shared" si="0"/>
        <v>0</v>
      </c>
      <c r="G31" s="20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1">
        <f t="shared" si="1"/>
      </c>
      <c r="R31" s="212">
        <f t="shared" si="2"/>
      </c>
      <c r="S31" s="212">
        <f t="shared" si="3"/>
        <v>0</v>
      </c>
      <c r="T31" s="212">
        <f t="shared" si="4"/>
        <v>0</v>
      </c>
      <c r="U31" s="224">
        <f t="shared" si="5"/>
        <v>0</v>
      </c>
      <c r="V31" s="213">
        <f t="shared" si="6"/>
      </c>
      <c r="W31" s="214" t="s">
        <v>55</v>
      </c>
      <c r="Y31" s="21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6"/>
      <c r="AB31" s="217"/>
      <c r="AC31" s="217"/>
      <c r="BB31" s="8">
        <f t="shared" si="7"/>
      </c>
    </row>
    <row r="32" spans="1:54" ht="12.75">
      <c r="A32" s="218" t="s">
        <v>55</v>
      </c>
      <c r="B32" s="219"/>
      <c r="C32" s="220"/>
      <c r="D32" s="20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1">
        <f>IF(D32="",,VLOOKUP(D32,D$22:D31,1,0))</f>
        <v>0</v>
      </c>
      <c r="F32" s="222">
        <f t="shared" si="0"/>
        <v>0</v>
      </c>
      <c r="G32" s="20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1">
        <f t="shared" si="1"/>
      </c>
      <c r="R32" s="212">
        <f t="shared" si="2"/>
      </c>
      <c r="S32" s="212">
        <f t="shared" si="3"/>
        <v>0</v>
      </c>
      <c r="T32" s="212">
        <f t="shared" si="4"/>
        <v>0</v>
      </c>
      <c r="U32" s="224">
        <f t="shared" si="5"/>
        <v>0</v>
      </c>
      <c r="V32" s="213">
        <f t="shared" si="6"/>
      </c>
      <c r="W32" s="214" t="s">
        <v>55</v>
      </c>
      <c r="Y32" s="21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6"/>
      <c r="AB32" s="217"/>
      <c r="AC32" s="217"/>
      <c r="BB32" s="8">
        <f t="shared" si="7"/>
      </c>
    </row>
    <row r="33" spans="1:54" ht="12.75">
      <c r="A33" s="218" t="s">
        <v>55</v>
      </c>
      <c r="B33" s="219"/>
      <c r="C33" s="220"/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1">
        <f>IF(D33="",,VLOOKUP(D33,D$22:D32,1,0))</f>
        <v>0</v>
      </c>
      <c r="F33" s="222">
        <f t="shared" si="0"/>
        <v>0</v>
      </c>
      <c r="G33" s="20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1"/>
      </c>
      <c r="R33" s="212">
        <f t="shared" si="2"/>
      </c>
      <c r="S33" s="212">
        <f t="shared" si="3"/>
        <v>0</v>
      </c>
      <c r="T33" s="212">
        <f t="shared" si="4"/>
        <v>0</v>
      </c>
      <c r="U33" s="224">
        <f t="shared" si="5"/>
        <v>0</v>
      </c>
      <c r="V33" s="213">
        <f t="shared" si="6"/>
      </c>
      <c r="W33" s="214" t="s">
        <v>55</v>
      </c>
      <c r="Y33" s="21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/>
      <c r="AC33" s="217"/>
      <c r="BB33" s="8">
        <f t="shared" si="7"/>
      </c>
    </row>
    <row r="34" spans="1:54" ht="12.75">
      <c r="A34" s="218" t="s">
        <v>55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0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1"/>
      </c>
      <c r="R34" s="212">
        <f t="shared" si="2"/>
      </c>
      <c r="S34" s="212">
        <f t="shared" si="3"/>
        <v>0</v>
      </c>
      <c r="T34" s="212">
        <f t="shared" si="4"/>
        <v>0</v>
      </c>
      <c r="U34" s="224">
        <f t="shared" si="5"/>
        <v>0</v>
      </c>
      <c r="V34" s="213">
        <f t="shared" si="6"/>
      </c>
      <c r="W34" s="214" t="s">
        <v>55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7"/>
      </c>
    </row>
    <row r="35" spans="1:54" ht="12.75">
      <c r="A35" s="218" t="s">
        <v>55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0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1"/>
      </c>
      <c r="R35" s="212">
        <f t="shared" si="2"/>
      </c>
      <c r="S35" s="212">
        <f t="shared" si="3"/>
        <v>0</v>
      </c>
      <c r="T35" s="212">
        <f t="shared" si="4"/>
        <v>0</v>
      </c>
      <c r="U35" s="224">
        <f t="shared" si="5"/>
        <v>0</v>
      </c>
      <c r="V35" s="213">
        <f t="shared" si="6"/>
      </c>
      <c r="W35" s="214" t="s">
        <v>55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7"/>
      </c>
    </row>
    <row r="36" spans="1:54" ht="12.75">
      <c r="A36" s="218" t="s">
        <v>55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0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1"/>
      </c>
      <c r="R36" s="212">
        <f t="shared" si="2"/>
      </c>
      <c r="S36" s="212">
        <f t="shared" si="3"/>
        <v>0</v>
      </c>
      <c r="T36" s="212">
        <f t="shared" si="4"/>
        <v>0</v>
      </c>
      <c r="U36" s="224">
        <f t="shared" si="5"/>
        <v>0</v>
      </c>
      <c r="V36" s="213">
        <f t="shared" si="6"/>
      </c>
      <c r="W36" s="214" t="s">
        <v>55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7"/>
      </c>
    </row>
    <row r="37" spans="1:54" ht="12.75">
      <c r="A37" s="218" t="s">
        <v>55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0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1"/>
      </c>
      <c r="R37" s="212">
        <f t="shared" si="2"/>
      </c>
      <c r="S37" s="212">
        <f t="shared" si="3"/>
        <v>0</v>
      </c>
      <c r="T37" s="212">
        <f t="shared" si="4"/>
        <v>0</v>
      </c>
      <c r="U37" s="224">
        <f t="shared" si="5"/>
        <v>0</v>
      </c>
      <c r="V37" s="213">
        <f t="shared" si="6"/>
      </c>
      <c r="W37" s="214" t="s">
        <v>55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7"/>
      </c>
    </row>
    <row r="38" spans="1:54" ht="12.75">
      <c r="A38" s="218" t="s">
        <v>55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0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1"/>
      </c>
      <c r="R38" s="212">
        <f t="shared" si="2"/>
      </c>
      <c r="S38" s="212">
        <f t="shared" si="3"/>
        <v>0</v>
      </c>
      <c r="T38" s="212">
        <f t="shared" si="4"/>
        <v>0</v>
      </c>
      <c r="U38" s="224">
        <f t="shared" si="5"/>
        <v>0</v>
      </c>
      <c r="V38" s="213">
        <f t="shared" si="6"/>
      </c>
      <c r="W38" s="214" t="s">
        <v>55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7"/>
      </c>
    </row>
    <row r="39" spans="1:54" ht="12.75">
      <c r="A39" s="218" t="s">
        <v>55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0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1"/>
      </c>
      <c r="R39" s="212">
        <f t="shared" si="2"/>
      </c>
      <c r="S39" s="212">
        <f t="shared" si="3"/>
        <v>0</v>
      </c>
      <c r="T39" s="212">
        <f t="shared" si="4"/>
        <v>0</v>
      </c>
      <c r="U39" s="224">
        <f t="shared" si="5"/>
        <v>0</v>
      </c>
      <c r="V39" s="213">
        <f t="shared" si="6"/>
      </c>
      <c r="W39" s="214" t="s">
        <v>55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7"/>
      </c>
    </row>
    <row r="40" spans="1:54" ht="12.75">
      <c r="A40" s="218" t="s">
        <v>55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0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1"/>
      </c>
      <c r="R40" s="212">
        <f t="shared" si="2"/>
      </c>
      <c r="S40" s="212">
        <f t="shared" si="3"/>
        <v>0</v>
      </c>
      <c r="T40" s="212">
        <f t="shared" si="4"/>
        <v>0</v>
      </c>
      <c r="U40" s="224">
        <f t="shared" si="5"/>
        <v>0</v>
      </c>
      <c r="V40" s="213">
        <f t="shared" si="6"/>
      </c>
      <c r="W40" s="214" t="s">
        <v>55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7"/>
      </c>
    </row>
    <row r="41" spans="1:54" ht="12.75">
      <c r="A41" s="218" t="s">
        <v>55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0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1"/>
      </c>
      <c r="R41" s="212">
        <f t="shared" si="2"/>
      </c>
      <c r="S41" s="212">
        <f t="shared" si="3"/>
        <v>0</v>
      </c>
      <c r="T41" s="212">
        <f t="shared" si="4"/>
        <v>0</v>
      </c>
      <c r="U41" s="224">
        <f t="shared" si="5"/>
        <v>0</v>
      </c>
      <c r="V41" s="213">
        <f t="shared" si="6"/>
      </c>
      <c r="W41" s="214" t="s">
        <v>55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7"/>
      </c>
    </row>
    <row r="42" spans="1:54" ht="12.75">
      <c r="A42" s="218" t="s">
        <v>55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0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1"/>
      </c>
      <c r="R42" s="212">
        <f t="shared" si="2"/>
      </c>
      <c r="S42" s="212">
        <f t="shared" si="3"/>
        <v>0</v>
      </c>
      <c r="T42" s="212">
        <f t="shared" si="4"/>
        <v>0</v>
      </c>
      <c r="U42" s="224">
        <f t="shared" si="5"/>
        <v>0</v>
      </c>
      <c r="V42" s="213">
        <f t="shared" si="6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7"/>
      </c>
    </row>
    <row r="43" spans="1:54" ht="12.75">
      <c r="A43" s="218" t="s">
        <v>55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0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1"/>
      </c>
      <c r="R43" s="212">
        <f t="shared" si="2"/>
      </c>
      <c r="S43" s="212">
        <f t="shared" si="3"/>
        <v>0</v>
      </c>
      <c r="T43" s="212">
        <f t="shared" si="4"/>
        <v>0</v>
      </c>
      <c r="U43" s="224">
        <f t="shared" si="5"/>
        <v>0</v>
      </c>
      <c r="V43" s="213">
        <f t="shared" si="6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7"/>
      </c>
    </row>
    <row r="44" spans="1:54" ht="12.75">
      <c r="A44" s="218" t="s">
        <v>55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0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1"/>
      </c>
      <c r="R44" s="212">
        <f t="shared" si="2"/>
      </c>
      <c r="S44" s="212">
        <f t="shared" si="3"/>
        <v>0</v>
      </c>
      <c r="T44" s="212">
        <f t="shared" si="4"/>
        <v>0</v>
      </c>
      <c r="U44" s="224">
        <f t="shared" si="5"/>
        <v>0</v>
      </c>
      <c r="V44" s="213">
        <f t="shared" si="6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7"/>
      </c>
    </row>
    <row r="45" spans="1:54" ht="12.75">
      <c r="A45" s="218" t="s">
        <v>55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0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1"/>
      </c>
      <c r="R45" s="212">
        <f t="shared" si="2"/>
      </c>
      <c r="S45" s="212">
        <f t="shared" si="3"/>
        <v>0</v>
      </c>
      <c r="T45" s="212">
        <f t="shared" si="4"/>
        <v>0</v>
      </c>
      <c r="U45" s="224">
        <f t="shared" si="5"/>
        <v>0</v>
      </c>
      <c r="V45" s="213">
        <f t="shared" si="6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7"/>
      </c>
    </row>
    <row r="46" spans="1:54" ht="12.75">
      <c r="A46" s="218" t="s">
        <v>55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0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1"/>
      </c>
      <c r="R46" s="212">
        <f t="shared" si="2"/>
      </c>
      <c r="S46" s="212">
        <f t="shared" si="3"/>
        <v>0</v>
      </c>
      <c r="T46" s="212">
        <f t="shared" si="4"/>
        <v>0</v>
      </c>
      <c r="U46" s="224">
        <f t="shared" si="5"/>
        <v>0</v>
      </c>
      <c r="V46" s="213">
        <f t="shared" si="6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7"/>
      </c>
    </row>
    <row r="47" spans="1:54" ht="12.75">
      <c r="A47" s="218" t="s">
        <v>55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0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1"/>
      </c>
      <c r="R47" s="212">
        <f t="shared" si="2"/>
      </c>
      <c r="S47" s="212">
        <f t="shared" si="3"/>
        <v>0</v>
      </c>
      <c r="T47" s="212">
        <f t="shared" si="4"/>
        <v>0</v>
      </c>
      <c r="U47" s="224">
        <f t="shared" si="5"/>
        <v>0</v>
      </c>
      <c r="V47" s="213">
        <f t="shared" si="6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7"/>
      </c>
    </row>
    <row r="48" spans="1:54" ht="12.75">
      <c r="A48" s="218" t="s">
        <v>55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0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1"/>
      </c>
      <c r="R48" s="212">
        <f t="shared" si="2"/>
      </c>
      <c r="S48" s="212">
        <f t="shared" si="3"/>
        <v>0</v>
      </c>
      <c r="T48" s="212">
        <f t="shared" si="4"/>
        <v>0</v>
      </c>
      <c r="U48" s="224">
        <f t="shared" si="5"/>
        <v>0</v>
      </c>
      <c r="V48" s="213">
        <f t="shared" si="6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7"/>
      </c>
    </row>
    <row r="49" spans="1:54" ht="12.75">
      <c r="A49" s="218" t="s">
        <v>55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0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1"/>
      </c>
      <c r="R49" s="212">
        <f t="shared" si="2"/>
      </c>
      <c r="S49" s="212">
        <f t="shared" si="3"/>
        <v>0</v>
      </c>
      <c r="T49" s="212">
        <f t="shared" si="4"/>
        <v>0</v>
      </c>
      <c r="U49" s="224">
        <f t="shared" si="5"/>
        <v>0</v>
      </c>
      <c r="V49" s="213">
        <f t="shared" si="6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7"/>
      </c>
    </row>
    <row r="50" spans="1:54" ht="12.75">
      <c r="A50" s="218" t="s">
        <v>55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0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1"/>
      </c>
      <c r="R50" s="212">
        <f t="shared" si="2"/>
      </c>
      <c r="S50" s="212">
        <f t="shared" si="3"/>
        <v>0</v>
      </c>
      <c r="T50" s="212">
        <f t="shared" si="4"/>
        <v>0</v>
      </c>
      <c r="U50" s="224">
        <f t="shared" si="5"/>
        <v>0</v>
      </c>
      <c r="V50" s="213">
        <f t="shared" si="6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7"/>
      </c>
    </row>
    <row r="51" spans="1:54" ht="12.75">
      <c r="A51" s="218" t="s">
        <v>55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0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1"/>
      </c>
      <c r="R51" s="212">
        <f t="shared" si="2"/>
      </c>
      <c r="S51" s="212">
        <f t="shared" si="3"/>
        <v>0</v>
      </c>
      <c r="T51" s="212">
        <f t="shared" si="4"/>
        <v>0</v>
      </c>
      <c r="U51" s="224">
        <f t="shared" si="5"/>
        <v>0</v>
      </c>
      <c r="V51" s="213">
        <f t="shared" si="6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7"/>
      </c>
    </row>
    <row r="52" spans="1:54" ht="12.75">
      <c r="A52" s="218" t="s">
        <v>55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0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1"/>
      </c>
      <c r="R52" s="212">
        <f t="shared" si="2"/>
      </c>
      <c r="S52" s="212">
        <f t="shared" si="3"/>
        <v>0</v>
      </c>
      <c r="T52" s="212">
        <f t="shared" si="4"/>
        <v>0</v>
      </c>
      <c r="U52" s="224">
        <f t="shared" si="5"/>
        <v>0</v>
      </c>
      <c r="V52" s="213">
        <f t="shared" si="6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7"/>
      </c>
    </row>
    <row r="53" spans="1:54" ht="12.75">
      <c r="A53" s="218" t="s">
        <v>55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0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1"/>
      </c>
      <c r="R53" s="212">
        <f t="shared" si="2"/>
      </c>
      <c r="S53" s="212">
        <f t="shared" si="3"/>
        <v>0</v>
      </c>
      <c r="T53" s="212">
        <f t="shared" si="4"/>
        <v>0</v>
      </c>
      <c r="U53" s="224">
        <f t="shared" si="5"/>
        <v>0</v>
      </c>
      <c r="V53" s="213">
        <f t="shared" si="6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7"/>
      </c>
    </row>
    <row r="54" spans="1:54" ht="12.75">
      <c r="A54" s="218" t="s">
        <v>55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0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1"/>
      </c>
      <c r="R54" s="212">
        <f t="shared" si="2"/>
      </c>
      <c r="S54" s="212">
        <f t="shared" si="3"/>
        <v>0</v>
      </c>
      <c r="T54" s="212">
        <f t="shared" si="4"/>
        <v>0</v>
      </c>
      <c r="U54" s="224">
        <f t="shared" si="5"/>
        <v>0</v>
      </c>
      <c r="V54" s="213">
        <f t="shared" si="6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7"/>
      </c>
    </row>
    <row r="55" spans="1:54" ht="12.75">
      <c r="A55" s="218" t="s">
        <v>55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0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1"/>
      </c>
      <c r="R55" s="212">
        <f t="shared" si="2"/>
      </c>
      <c r="S55" s="212">
        <f t="shared" si="3"/>
        <v>0</v>
      </c>
      <c r="T55" s="212">
        <f t="shared" si="4"/>
        <v>0</v>
      </c>
      <c r="U55" s="224">
        <f t="shared" si="5"/>
        <v>0</v>
      </c>
      <c r="V55" s="213">
        <f t="shared" si="6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7"/>
      </c>
    </row>
    <row r="56" spans="1:54" ht="12.75">
      <c r="A56" s="218" t="s">
        <v>55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0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1"/>
      </c>
      <c r="R56" s="212">
        <f t="shared" si="2"/>
      </c>
      <c r="S56" s="212">
        <f t="shared" si="3"/>
        <v>0</v>
      </c>
      <c r="T56" s="212">
        <f t="shared" si="4"/>
        <v>0</v>
      </c>
      <c r="U56" s="224">
        <f t="shared" si="5"/>
        <v>0</v>
      </c>
      <c r="V56" s="213">
        <f t="shared" si="6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7"/>
      </c>
    </row>
    <row r="57" spans="1:54" ht="12.75">
      <c r="A57" s="218" t="s">
        <v>55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0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1"/>
      </c>
      <c r="R57" s="212">
        <f t="shared" si="2"/>
      </c>
      <c r="S57" s="212">
        <f t="shared" si="3"/>
        <v>0</v>
      </c>
      <c r="T57" s="212">
        <f t="shared" si="4"/>
        <v>0</v>
      </c>
      <c r="U57" s="224">
        <f t="shared" si="5"/>
        <v>0</v>
      </c>
      <c r="V57" s="213">
        <f t="shared" si="6"/>
      </c>
      <c r="W57" s="214" t="s">
        <v>55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7"/>
      </c>
    </row>
    <row r="58" spans="1:54" ht="12.75">
      <c r="A58" s="218" t="s">
        <v>55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0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1"/>
      </c>
      <c r="R58" s="212">
        <f t="shared" si="2"/>
      </c>
      <c r="S58" s="212">
        <f t="shared" si="3"/>
        <v>0</v>
      </c>
      <c r="T58" s="212">
        <f t="shared" si="4"/>
        <v>0</v>
      </c>
      <c r="U58" s="224">
        <f t="shared" si="5"/>
        <v>0</v>
      </c>
      <c r="V58" s="213">
        <f t="shared" si="6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7"/>
      </c>
    </row>
    <row r="59" spans="1:54" ht="12.75">
      <c r="A59" s="218" t="s">
        <v>55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0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1"/>
      </c>
      <c r="R59" s="212">
        <f t="shared" si="2"/>
      </c>
      <c r="S59" s="212">
        <f t="shared" si="3"/>
        <v>0</v>
      </c>
      <c r="T59" s="212">
        <f t="shared" si="4"/>
        <v>0</v>
      </c>
      <c r="U59" s="224">
        <f t="shared" si="5"/>
        <v>0</v>
      </c>
      <c r="V59" s="213">
        <f t="shared" si="6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7"/>
      </c>
    </row>
    <row r="60" spans="1:54" ht="12.75">
      <c r="A60" s="218" t="s">
        <v>55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0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1"/>
      </c>
      <c r="R60" s="212">
        <f t="shared" si="2"/>
      </c>
      <c r="S60" s="212">
        <f t="shared" si="3"/>
        <v>0</v>
      </c>
      <c r="T60" s="212">
        <f t="shared" si="4"/>
        <v>0</v>
      </c>
      <c r="U60" s="224">
        <f t="shared" si="5"/>
        <v>0</v>
      </c>
      <c r="V60" s="213">
        <f t="shared" si="6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7"/>
      </c>
    </row>
    <row r="61" spans="1:54" ht="12.75">
      <c r="A61" s="218" t="s">
        <v>55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0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1"/>
      </c>
      <c r="R61" s="212">
        <f t="shared" si="2"/>
      </c>
      <c r="S61" s="212">
        <f t="shared" si="3"/>
        <v>0</v>
      </c>
      <c r="T61" s="212">
        <f t="shared" si="4"/>
        <v>0</v>
      </c>
      <c r="U61" s="224">
        <f t="shared" si="5"/>
        <v>0</v>
      </c>
      <c r="V61" s="213">
        <f t="shared" si="6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7"/>
      </c>
    </row>
    <row r="62" spans="1:54" ht="12.75">
      <c r="A62" s="218" t="s">
        <v>55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0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1"/>
      </c>
      <c r="R62" s="212">
        <f t="shared" si="2"/>
      </c>
      <c r="S62" s="212">
        <f t="shared" si="3"/>
        <v>0</v>
      </c>
      <c r="T62" s="212">
        <f t="shared" si="4"/>
        <v>0</v>
      </c>
      <c r="U62" s="224">
        <f t="shared" si="5"/>
        <v>0</v>
      </c>
      <c r="V62" s="213">
        <f t="shared" si="6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7"/>
      </c>
    </row>
    <row r="63" spans="1:54" ht="12.75" hidden="1">
      <c r="A63" s="218" t="s">
        <v>55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0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1"/>
      </c>
      <c r="R63" s="212">
        <f t="shared" si="2"/>
      </c>
      <c r="S63" s="212">
        <f t="shared" si="3"/>
        <v>0</v>
      </c>
      <c r="T63" s="212">
        <f t="shared" si="4"/>
        <v>0</v>
      </c>
      <c r="U63" s="224">
        <f t="shared" si="5"/>
        <v>0</v>
      </c>
      <c r="V63" s="213">
        <f t="shared" si="6"/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7"/>
      </c>
    </row>
    <row r="64" spans="1:54" ht="12.75" customHeight="1" hidden="1">
      <c r="A64" s="218" t="s">
        <v>55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0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1"/>
      </c>
      <c r="R64" s="212">
        <f t="shared" si="2"/>
      </c>
      <c r="S64" s="212">
        <f t="shared" si="3"/>
        <v>0</v>
      </c>
      <c r="T64" s="212">
        <f t="shared" si="4"/>
        <v>0</v>
      </c>
      <c r="U64" s="224">
        <f t="shared" si="5"/>
        <v>0</v>
      </c>
      <c r="V64" s="213">
        <f t="shared" si="6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7"/>
      </c>
    </row>
    <row r="65" spans="1:54" ht="12.75" hidden="1">
      <c r="A65" s="218" t="s">
        <v>55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0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1"/>
      </c>
      <c r="R65" s="212">
        <f t="shared" si="2"/>
      </c>
      <c r="S65" s="212">
        <f t="shared" si="3"/>
        <v>0</v>
      </c>
      <c r="T65" s="212">
        <f t="shared" si="4"/>
        <v>0</v>
      </c>
      <c r="U65" s="224">
        <f t="shared" si="5"/>
        <v>0</v>
      </c>
      <c r="V65" s="213">
        <f t="shared" si="6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7"/>
      </c>
    </row>
    <row r="66" spans="1:54" ht="12.75" hidden="1">
      <c r="A66" s="218" t="s">
        <v>55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0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1"/>
      </c>
      <c r="R66" s="212">
        <f t="shared" si="2"/>
      </c>
      <c r="S66" s="212">
        <f t="shared" si="3"/>
        <v>0</v>
      </c>
      <c r="T66" s="212">
        <f t="shared" si="4"/>
        <v>0</v>
      </c>
      <c r="U66" s="224">
        <f t="shared" si="5"/>
        <v>0</v>
      </c>
      <c r="V66" s="213">
        <f t="shared" si="6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7"/>
      </c>
    </row>
    <row r="67" spans="1:54" ht="12.75" hidden="1">
      <c r="A67" s="218" t="s">
        <v>55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0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1"/>
      </c>
      <c r="R67" s="212">
        <f t="shared" si="2"/>
      </c>
      <c r="S67" s="212">
        <f t="shared" si="3"/>
        <v>0</v>
      </c>
      <c r="T67" s="212">
        <f t="shared" si="4"/>
        <v>0</v>
      </c>
      <c r="U67" s="224">
        <f t="shared" si="5"/>
        <v>0</v>
      </c>
      <c r="V67" s="213">
        <f t="shared" si="6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7"/>
      </c>
    </row>
    <row r="68" spans="1:54" ht="12.75" hidden="1">
      <c r="A68" s="218" t="s">
        <v>55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0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1"/>
      </c>
      <c r="R68" s="212">
        <f t="shared" si="2"/>
      </c>
      <c r="S68" s="212">
        <f t="shared" si="3"/>
        <v>0</v>
      </c>
      <c r="T68" s="212">
        <f t="shared" si="4"/>
        <v>0</v>
      </c>
      <c r="U68" s="224">
        <f t="shared" si="5"/>
        <v>0</v>
      </c>
      <c r="V68" s="213">
        <f t="shared" si="6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7"/>
      </c>
    </row>
    <row r="69" spans="1:54" ht="12.75" hidden="1">
      <c r="A69" s="218" t="s">
        <v>55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0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1"/>
      </c>
      <c r="R69" s="212">
        <f t="shared" si="2"/>
      </c>
      <c r="S69" s="212">
        <f t="shared" si="3"/>
        <v>0</v>
      </c>
      <c r="T69" s="212">
        <f t="shared" si="4"/>
        <v>0</v>
      </c>
      <c r="U69" s="224">
        <f t="shared" si="5"/>
        <v>0</v>
      </c>
      <c r="V69" s="213">
        <f t="shared" si="6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7"/>
      </c>
    </row>
    <row r="70" spans="1:54" ht="12.75" hidden="1">
      <c r="A70" s="218" t="s">
        <v>55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0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1"/>
      </c>
      <c r="R70" s="212">
        <f t="shared" si="2"/>
      </c>
      <c r="S70" s="212">
        <f t="shared" si="3"/>
        <v>0</v>
      </c>
      <c r="T70" s="212">
        <f t="shared" si="4"/>
        <v>0</v>
      </c>
      <c r="U70" s="224">
        <f t="shared" si="5"/>
        <v>0</v>
      </c>
      <c r="V70" s="213">
        <f t="shared" si="6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7"/>
      </c>
    </row>
    <row r="71" spans="1:54" ht="12.75" hidden="1">
      <c r="A71" s="218" t="s">
        <v>55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0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1"/>
      </c>
      <c r="R71" s="212">
        <f t="shared" si="2"/>
      </c>
      <c r="S71" s="212">
        <f t="shared" si="3"/>
        <v>0</v>
      </c>
      <c r="T71" s="212">
        <f t="shared" si="4"/>
        <v>0</v>
      </c>
      <c r="U71" s="224">
        <f t="shared" si="5"/>
        <v>0</v>
      </c>
      <c r="V71" s="213">
        <f t="shared" si="6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7"/>
      </c>
    </row>
    <row r="72" spans="1:54" ht="12.75" hidden="1">
      <c r="A72" s="218" t="s">
        <v>55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0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1"/>
      </c>
      <c r="R72" s="212">
        <f t="shared" si="2"/>
      </c>
      <c r="S72" s="212">
        <f t="shared" si="3"/>
        <v>0</v>
      </c>
      <c r="T72" s="212">
        <f t="shared" si="4"/>
        <v>0</v>
      </c>
      <c r="U72" s="224">
        <f t="shared" si="5"/>
        <v>0</v>
      </c>
      <c r="V72" s="213">
        <f t="shared" si="6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7"/>
      </c>
    </row>
    <row r="73" spans="1:54" ht="12.75" hidden="1">
      <c r="A73" s="218" t="s">
        <v>55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0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1"/>
      </c>
      <c r="R73" s="212">
        <f t="shared" si="2"/>
      </c>
      <c r="S73" s="212">
        <f t="shared" si="3"/>
        <v>0</v>
      </c>
      <c r="T73" s="212">
        <f t="shared" si="4"/>
        <v>0</v>
      </c>
      <c r="U73" s="224">
        <f t="shared" si="5"/>
        <v>0</v>
      </c>
      <c r="V73" s="213">
        <f t="shared" si="6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7"/>
      </c>
    </row>
    <row r="74" spans="1:54" ht="12.75" hidden="1">
      <c r="A74" s="218" t="s">
        <v>55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0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1"/>
      </c>
      <c r="R74" s="212">
        <f t="shared" si="2"/>
      </c>
      <c r="S74" s="212">
        <f t="shared" si="3"/>
        <v>0</v>
      </c>
      <c r="T74" s="212">
        <f t="shared" si="4"/>
        <v>0</v>
      </c>
      <c r="U74" s="224">
        <f t="shared" si="5"/>
        <v>0</v>
      </c>
      <c r="V74" s="213">
        <f t="shared" si="6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7"/>
      </c>
    </row>
    <row r="75" spans="1:54" ht="12.75" hidden="1">
      <c r="A75" s="218" t="s">
        <v>55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0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1"/>
      </c>
      <c r="R75" s="212">
        <f t="shared" si="2"/>
      </c>
      <c r="S75" s="212">
        <f t="shared" si="3"/>
        <v>0</v>
      </c>
      <c r="T75" s="212">
        <f t="shared" si="4"/>
        <v>0</v>
      </c>
      <c r="U75" s="224">
        <f t="shared" si="5"/>
        <v>0</v>
      </c>
      <c r="V75" s="213">
        <f t="shared" si="6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7"/>
      </c>
    </row>
    <row r="76" spans="1:54" ht="12.75" hidden="1">
      <c r="A76" s="218" t="s">
        <v>55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0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1"/>
      </c>
      <c r="R76" s="212">
        <f t="shared" si="2"/>
      </c>
      <c r="S76" s="212">
        <f t="shared" si="3"/>
        <v>0</v>
      </c>
      <c r="T76" s="212">
        <f t="shared" si="4"/>
        <v>0</v>
      </c>
      <c r="U76" s="224">
        <f t="shared" si="5"/>
        <v>0</v>
      </c>
      <c r="V76" s="213">
        <f t="shared" si="6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7"/>
      </c>
    </row>
    <row r="77" spans="1:54" ht="12.75" hidden="1">
      <c r="A77" s="218" t="s">
        <v>55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0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1"/>
      </c>
      <c r="R77" s="212">
        <f t="shared" si="2"/>
      </c>
      <c r="S77" s="212">
        <f t="shared" si="3"/>
        <v>0</v>
      </c>
      <c r="T77" s="212">
        <f t="shared" si="4"/>
        <v>0</v>
      </c>
      <c r="U77" s="224">
        <f t="shared" si="5"/>
        <v>0</v>
      </c>
      <c r="V77" s="213">
        <f t="shared" si="6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7"/>
      </c>
    </row>
    <row r="78" spans="1:54" ht="12.75" hidden="1">
      <c r="A78" s="218" t="s">
        <v>55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0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1"/>
      </c>
      <c r="R78" s="212">
        <f t="shared" si="2"/>
      </c>
      <c r="S78" s="212">
        <f t="shared" si="3"/>
        <v>0</v>
      </c>
      <c r="T78" s="212">
        <f t="shared" si="4"/>
        <v>0</v>
      </c>
      <c r="U78" s="224">
        <f t="shared" si="5"/>
        <v>0</v>
      </c>
      <c r="V78" s="213">
        <f t="shared" si="6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7"/>
      </c>
    </row>
    <row r="79" spans="1:54" ht="12.75" hidden="1">
      <c r="A79" s="218" t="s">
        <v>55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0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1"/>
      </c>
      <c r="R79" s="212">
        <f t="shared" si="2"/>
      </c>
      <c r="S79" s="212">
        <f t="shared" si="3"/>
        <v>0</v>
      </c>
      <c r="T79" s="212">
        <f t="shared" si="4"/>
        <v>0</v>
      </c>
      <c r="U79" s="224">
        <f t="shared" si="5"/>
        <v>0</v>
      </c>
      <c r="V79" s="213">
        <f t="shared" si="6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7"/>
      </c>
    </row>
    <row r="80" spans="1:54" ht="12.75" hidden="1">
      <c r="A80" s="218" t="s">
        <v>55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0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1"/>
      </c>
      <c r="R80" s="212">
        <f t="shared" si="2"/>
      </c>
      <c r="S80" s="212">
        <f t="shared" si="3"/>
        <v>0</v>
      </c>
      <c r="T80" s="212">
        <f t="shared" si="4"/>
        <v>0</v>
      </c>
      <c r="U80" s="224">
        <f t="shared" si="5"/>
        <v>0</v>
      </c>
      <c r="V80" s="213">
        <f t="shared" si="6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7"/>
      </c>
    </row>
    <row r="81" spans="1:54" ht="12.75" hidden="1">
      <c r="A81" s="218" t="s">
        <v>55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0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1"/>
      </c>
      <c r="R81" s="212">
        <f t="shared" si="2"/>
      </c>
      <c r="S81" s="212">
        <f t="shared" si="3"/>
        <v>0</v>
      </c>
      <c r="T81" s="212">
        <f t="shared" si="4"/>
        <v>0</v>
      </c>
      <c r="U81" s="224">
        <f t="shared" si="5"/>
        <v>0</v>
      </c>
      <c r="V81" s="213">
        <f t="shared" si="6"/>
      </c>
      <c r="W81" s="214" t="s">
        <v>55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7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0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1"/>
      </c>
      <c r="R82" s="212">
        <f t="shared" si="2"/>
      </c>
      <c r="S82" s="212">
        <f t="shared" si="3"/>
        <v>0</v>
      </c>
      <c r="T82" s="212">
        <f t="shared" si="4"/>
        <v>0</v>
      </c>
      <c r="U82" s="224">
        <f t="shared" si="5"/>
        <v>0</v>
      </c>
      <c r="V82" s="213">
        <f t="shared" si="6"/>
      </c>
      <c r="W82" s="247" t="s">
        <v>55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7"/>
      </c>
    </row>
    <row r="83" spans="1:30" ht="15" hidden="1">
      <c r="A83" s="249" t="s">
        <v>81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Savasse</v>
      </c>
      <c r="B84" s="254" t="str">
        <f>C3</f>
        <v>Savasse à St Michel</v>
      </c>
      <c r="C84" s="255">
        <f>A4</f>
        <v>41807</v>
      </c>
      <c r="D84" s="256">
        <f>IF(ISERROR(SUM($T$23:$T$82)/SUM($U$23:$U$82)),"",SUM($T$23:$T$82)/SUM($U$23:$U$82))</f>
        <v>11.2</v>
      </c>
      <c r="E84" s="257">
        <f>N13</f>
        <v>3</v>
      </c>
      <c r="F84" s="254">
        <f>N14</f>
        <v>3</v>
      </c>
      <c r="G84" s="254">
        <f>N15</f>
        <v>2</v>
      </c>
      <c r="H84" s="254">
        <f>N16</f>
        <v>1</v>
      </c>
      <c r="I84" s="254">
        <f>N17</f>
        <v>0</v>
      </c>
      <c r="J84" s="258">
        <f>N8</f>
        <v>10.333333333333334</v>
      </c>
      <c r="K84" s="256">
        <f>N9</f>
        <v>3.0912061651652345</v>
      </c>
      <c r="L84" s="257">
        <f>N10</f>
        <v>6</v>
      </c>
      <c r="M84" s="257">
        <f>N11</f>
        <v>13</v>
      </c>
      <c r="N84" s="256">
        <f>O8</f>
        <v>1.3333333333333333</v>
      </c>
      <c r="O84" s="256">
        <f>O9</f>
        <v>0.4714045207910317</v>
      </c>
      <c r="P84" s="257">
        <f>O10</f>
        <v>1</v>
      </c>
      <c r="Q84" s="257">
        <f>O11</f>
        <v>2</v>
      </c>
      <c r="R84" s="257">
        <f>F21</f>
        <v>0.16</v>
      </c>
      <c r="S84" s="257">
        <f>K11</f>
        <v>0</v>
      </c>
      <c r="T84" s="257">
        <f>K12</f>
        <v>2</v>
      </c>
      <c r="U84" s="257">
        <f>K13</f>
        <v>1</v>
      </c>
      <c r="V84" s="259">
        <f>K14</f>
        <v>0</v>
      </c>
      <c r="W84" s="260">
        <f>K15</f>
        <v>0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82</v>
      </c>
      <c r="R86" s="8"/>
      <c r="S86" s="213"/>
      <c r="T86" s="8"/>
      <c r="U86" s="8"/>
      <c r="V86" s="8"/>
    </row>
    <row r="87" spans="16:22" ht="12.75" hidden="1">
      <c r="P87" s="8"/>
      <c r="Q87" s="8" t="s">
        <v>83</v>
      </c>
      <c r="R87" s="8"/>
      <c r="S87" s="213">
        <f>VLOOKUP(MAX($S$23:$S$82),($S$23:$U$82),1,0)</f>
        <v>24</v>
      </c>
      <c r="T87" s="8"/>
      <c r="U87" s="8"/>
      <c r="V87" s="8"/>
    </row>
    <row r="88" spans="16:22" ht="12.75" hidden="1">
      <c r="P88" s="8"/>
      <c r="Q88" s="8" t="s">
        <v>84</v>
      </c>
      <c r="R88" s="8"/>
      <c r="S88" s="213">
        <f>VLOOKUP((S87),($S$23:$U$82),2,0)</f>
        <v>24</v>
      </c>
      <c r="T88" s="8"/>
      <c r="U88" s="8"/>
      <c r="V88" s="8"/>
    </row>
    <row r="89" spans="17:20" ht="12.75" hidden="1">
      <c r="Q89" s="8" t="s">
        <v>85</v>
      </c>
      <c r="R89" s="8"/>
      <c r="S89" s="213">
        <f>VLOOKUP((S87),($S$23:$U$82),3,0)</f>
        <v>2</v>
      </c>
      <c r="T89" s="8"/>
    </row>
    <row r="90" spans="17:20" ht="12.75">
      <c r="Q90" s="8" t="s">
        <v>86</v>
      </c>
      <c r="R90" s="8"/>
      <c r="S90" s="263">
        <f>IF(ISERROR(SUM($T$23:$T$82)/SUM($U$23:$U$82)),"",(SUM($T$23:$T$82)-S88)/(SUM($U$23:$U$82)-S89))</f>
        <v>10.666666666666666</v>
      </c>
      <c r="T90" s="8"/>
    </row>
    <row r="91" spans="17:21" ht="12.75">
      <c r="Q91" s="212" t="s">
        <v>87</v>
      </c>
      <c r="R91" s="212"/>
      <c r="S91" s="212" t="str">
        <f>INDEX('[1]liste reference'!$A$8:$A$904,$T$91)</f>
        <v>RHYRIP</v>
      </c>
      <c r="T91" s="8">
        <f>IF(ISERROR(MATCH($S$93,'[1]liste reference'!$A$8:$A$904,0)),MATCH($S$93,'[1]liste reference'!$B$8:$B$904,0),(MATCH($S$93,'[1]liste reference'!$A$8:$A$904,0)))</f>
        <v>252</v>
      </c>
      <c r="U91" s="252"/>
    </row>
    <row r="92" spans="17:20" ht="12.75">
      <c r="Q92" s="8" t="s">
        <v>88</v>
      </c>
      <c r="R92" s="8"/>
      <c r="S92" s="8">
        <f>MATCH(S87,$S$23:$S$82,0)</f>
        <v>3</v>
      </c>
      <c r="T92" s="8"/>
    </row>
    <row r="93" spans="17:20" ht="12.75">
      <c r="Q93" s="212" t="s">
        <v>89</v>
      </c>
      <c r="R93" s="8"/>
      <c r="S93" s="212" t="str">
        <f>INDEX($A$23:$A$82,$S$92)</f>
        <v>RHYRIP</v>
      </c>
      <c r="T93" s="8"/>
    </row>
    <row r="94" ht="12.75">
      <c r="S94" s="252"/>
    </row>
  </sheetData>
  <sheetProtection password="C39F" sheet="1" objects="1" scenarios="1"/>
  <mergeCells count="11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  <mergeCell ref="N6:O6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2015-04-13T09:09:16Z</dcterms:created>
  <dcterms:modified xsi:type="dcterms:W3CDTF">2015-04-30T07:26:44Z</dcterms:modified>
  <cp:category/>
  <cp:version/>
  <cp:contentType/>
  <cp:contentStatus/>
</cp:coreProperties>
</file>