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<sst xmlns="http://schemas.openxmlformats.org/spreadsheetml/2006/main" count="217" uniqueCount="91">
  <si>
    <t>Relevés floristiques aquatiques - IBMR</t>
  </si>
  <si>
    <t>modèle Irstea-GIS</t>
  </si>
  <si>
    <t>SAGE ENVIRONNEMENT</t>
  </si>
  <si>
    <t>MSCHNEIDER LBOURGOIN</t>
  </si>
  <si>
    <t>SAVASSE</t>
  </si>
  <si>
    <t>SAVASSE A SAINT MICHEL SUR SAVASSE</t>
  </si>
  <si>
    <t>06148800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</si>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</sst>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AMIC_06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M7" sqref="M7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42191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</v>
      </c>
      <c r="N5" s="50"/>
      <c r="O5" s="51" t="s">
        <v>16</v>
      </c>
      <c r="P5" s="52">
        <v>12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50</v>
      </c>
      <c r="C7" s="68">
        <v>50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9</v>
      </c>
      <c r="P8" s="85">
        <f>IF(ISERROR(AVERAGE(K23:K82)),"  ",AVERAGE(K23:K82))</f>
        <v>1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0.02</v>
      </c>
      <c r="C9" s="88">
        <v>0.01</v>
      </c>
      <c r="D9" s="89"/>
      <c r="E9" s="89"/>
      <c r="F9" s="90">
        <f>($B9*$B$7+$C9*$C$7)/100</f>
        <v>0.015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</v>
      </c>
      <c r="P9" s="85">
        <f>IF(ISERROR(STDEVP(K23:K82)),"  ",STDEVP(K23:K82))</f>
        <v>0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12</v>
      </c>
      <c r="P11" s="101">
        <f>MAX(K23:K82)</f>
        <v>1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0.01</v>
      </c>
      <c r="C12" s="114">
        <v>0.01</v>
      </c>
      <c r="D12" s="89"/>
      <c r="E12" s="89"/>
      <c r="F12" s="106">
        <f>($B12*$B$7+$C12*$C$7)/100</f>
        <v>0.01</v>
      </c>
      <c r="G12" s="107"/>
      <c r="H12" s="56"/>
      <c r="I12" s="5"/>
      <c r="J12" s="108" t="s">
        <v>39</v>
      </c>
      <c r="K12" s="109"/>
      <c r="L12" s="110">
        <f>COUNTIF($G$23:$G$82,"=ALG")</f>
        <v>1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0.01</v>
      </c>
      <c r="C13" s="114"/>
      <c r="D13" s="89"/>
      <c r="E13" s="89"/>
      <c r="F13" s="106">
        <f>($B13*$B$7+$C13*$C$7)/100</f>
        <v>0.005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</v>
      </c>
      <c r="M13" s="111"/>
      <c r="N13" s="120" t="s">
        <v>42</v>
      </c>
      <c r="O13" s="121">
        <f>COUNTIF(F23:F82,"&gt;0")</f>
        <v>2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2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0.02</v>
      </c>
      <c r="C17" s="114">
        <v>0.01</v>
      </c>
      <c r="D17" s="89"/>
      <c r="E17" s="89"/>
      <c r="F17" s="133"/>
      <c r="G17" s="134">
        <f>($B17*$B$7+$C17*$C$7)/100</f>
        <v>0.015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0.015</v>
      </c>
      <c r="G19" s="157">
        <f>SUM(G16:G18)</f>
        <v>0.015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0.02</v>
      </c>
      <c r="C20" s="167">
        <f>SUM(C23:C62)</f>
        <v>0.01</v>
      </c>
      <c r="D20" s="168"/>
      <c r="E20" s="169" t="s">
        <v>55</v>
      </c>
      <c r="F20" s="170">
        <f>($B20*$B$7+$C20*$C$7)/100</f>
        <v>0.015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0.01</v>
      </c>
      <c r="C21" s="178">
        <f>C20*C7/100</f>
        <v>0.005</v>
      </c>
      <c r="D21" s="179" t="s">
        <v>59</v>
      </c>
      <c r="E21" s="180"/>
      <c r="F21" s="181">
        <f>B21+C21</f>
        <v>0.015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16</v>
      </c>
      <c r="B23" s="207">
        <v>0.01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Rhynchostegium riparioides</v>
      </c>
      <c r="E24" s="228" t="e">
        <f>IF(D24="",,VLOOKUP(D24,D$22:D23,1,0))</f>
        <v>#N/A</v>
      </c>
      <c r="F24" s="229">
        <f t="shared" si="0"/>
        <v>0.005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BRm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5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Rhynchostegium riparioides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31691</v>
      </c>
      <c r="R24" s="219">
        <f t="shared" si="2"/>
        <v>0.005</v>
      </c>
      <c r="S24" s="220">
        <f t="shared" si="3"/>
        <v>1</v>
      </c>
      <c r="T24" s="220">
        <f t="shared" si="4"/>
        <v>12</v>
      </c>
      <c r="U24" s="220">
        <f t="shared" si="5"/>
        <v>12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RHYRIP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345</v>
      </c>
    </row>
    <row r="25" spans="1:26" ht="12.75">
      <c r="A25" s="224" t="s">
        <v>56</v>
      </c>
      <c r="B25" s="225"/>
      <c r="C25" s="226"/>
      <c r="D25" s="227">
        <f>IF(ISERROR(VLOOKUP($A25,'[1]liste reference'!$A$6:$B$1174,2,0)),IF(ISERROR(VLOOKUP($A25,'[1]liste reference'!$B$6:$B$1174,1,0)),"",VLOOKUP($A25,'[1]liste reference'!$B$6:$B$1174,1,0)),VLOOKUP($A25,'[1]liste reference'!$A$6:$B$1174,2,0))</f>
      </c>
      <c r="E25" s="228">
        <f>IF(D25="",,VLOOKUP(D25,D$22:D24,1,0))</f>
        <v>0</v>
      </c>
      <c r="F25" s="229">
        <f t="shared" si="0"/>
      </c>
      <c r="G25" s="230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</c>
      <c r="H25" s="231" t="str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x</v>
      </c>
      <c r="I25" s="5">
        <f t="shared" si="1"/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nu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nu</v>
      </c>
      <c r="L25" s="215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</c>
      <c r="R25" s="219">
        <f t="shared" si="2"/>
      </c>
      <c r="S25" s="220">
        <f t="shared" si="3"/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>
        <f>IF(AND(ISNUMBER(F25),OR(A25="",A25="!!!!!!")),"!!!!!!",IF(A25="new.cod","NEWCOD",IF(AND((Z25=""),ISTEXT(A25),A25&lt;&gt;"!!!!!!"),A25,IF(Z25="","",INDEX('[1]liste reference'!$A$6:$A$1174,Z25)))))</f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</c>
    </row>
    <row r="26" spans="1:26" ht="12.75">
      <c r="A26" s="224" t="s">
        <v>56</v>
      </c>
      <c r="B26" s="225"/>
      <c r="C26" s="226"/>
      <c r="D26" s="227">
        <f>IF(ISERROR(VLOOKUP($A26,'[1]liste reference'!$A$6:$B$1174,2,0)),IF(ISERROR(VLOOKUP($A26,'[1]liste reference'!$B$6:$B$1174,1,0)),"",VLOOKUP($A26,'[1]liste reference'!$B$6:$B$1174,1,0)),VLOOKUP($A26,'[1]liste reference'!$A$6:$B$1174,2,0))</f>
      </c>
      <c r="E26" s="228">
        <f>IF(D26="",,VLOOKUP(D26,D$22:D25,1,0))</f>
        <v>0</v>
      </c>
      <c r="F26" s="229">
        <f t="shared" si="0"/>
      </c>
      <c r="G26" s="230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</c>
      <c r="H26" s="231" t="str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x</v>
      </c>
      <c r="I26" s="5">
        <f t="shared" si="1"/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nu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nu</v>
      </c>
      <c r="L26" s="215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</c>
      <c r="R26" s="219">
        <f t="shared" si="2"/>
      </c>
      <c r="S26" s="220">
        <f t="shared" si="3"/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>
        <f>IF(AND(ISNUMBER(F26),OR(A26="",A26="!!!!!!")),"!!!!!!",IF(A26="new.cod","NEWCOD",IF(AND((Z26=""),ISTEXT(A26),A26&lt;&gt;"!!!!!!"),A26,IF(Z26="","",INDEX('[1]liste reference'!$A$6:$A$1174,Z26)))))</f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</c>
    </row>
    <row r="27" spans="1:26" ht="12.75">
      <c r="A27" s="224" t="s">
        <v>56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56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0.015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</v>
      </c>
      <c r="W83" s="220"/>
      <c r="X83" s="258"/>
      <c r="Y83" s="258"/>
      <c r="Z83" s="259"/>
    </row>
    <row r="84" spans="1:26" ht="12.75" hidden="1">
      <c r="A84" s="253" t="str">
        <f>A3</f>
        <v>SAVASSE</v>
      </c>
      <c r="B84" s="187" t="str">
        <f>C3</f>
        <v>SAVASSE A SAINT MICHEL SUR SAVASSE</v>
      </c>
      <c r="C84" s="260" t="str">
        <f>A4</f>
        <v>(Date)</v>
      </c>
      <c r="D84" s="261">
        <f>IF(OR(ISERROR(SUM($U$23:$U$82)/SUM($V$23:$V$82)),F7&lt;&gt;100),-1,SUM($U$23:$U$82)/SUM($V$23:$V$82))</f>
        <v>9</v>
      </c>
      <c r="E84" s="262">
        <f>O13</f>
        <v>2</v>
      </c>
      <c r="F84" s="187">
        <f>O14</f>
        <v>2</v>
      </c>
      <c r="G84" s="187">
        <f>O15</f>
        <v>2</v>
      </c>
      <c r="H84" s="187">
        <f>O16</f>
        <v>0</v>
      </c>
      <c r="I84" s="187">
        <f>O17</f>
        <v>0</v>
      </c>
      <c r="J84" s="263">
        <f>O8</f>
        <v>9</v>
      </c>
      <c r="K84" s="264">
        <f>O9</f>
        <v>3</v>
      </c>
      <c r="L84" s="265">
        <f>O10</f>
        <v>6</v>
      </c>
      <c r="M84" s="265">
        <f>O11</f>
        <v>12</v>
      </c>
      <c r="N84" s="264">
        <f>P8</f>
        <v>1</v>
      </c>
      <c r="O84" s="264">
        <f>P9</f>
        <v>0</v>
      </c>
      <c r="P84" s="265">
        <f>P10</f>
        <v>1</v>
      </c>
      <c r="Q84" s="265">
        <f>P11</f>
        <v>1</v>
      </c>
      <c r="R84" s="265">
        <f>F21</f>
        <v>0.015</v>
      </c>
      <c r="S84" s="265">
        <f>L11</f>
        <v>0</v>
      </c>
      <c r="T84" s="265">
        <f>L12</f>
        <v>1</v>
      </c>
      <c r="U84" s="265">
        <f>L13</f>
        <v>1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83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84</v>
      </c>
      <c r="S87" s="5"/>
      <c r="T87" s="272">
        <f>VLOOKUP($T$91,($A$23:$U$82),20,FALSE)</f>
        <v>6</v>
      </c>
      <c r="U87" s="5"/>
      <c r="V87" s="5"/>
    </row>
    <row r="88" spans="3:22" ht="12.75" hidden="1">
      <c r="C88" s="269"/>
      <c r="D88" s="269"/>
      <c r="E88" s="269"/>
      <c r="R88" s="5" t="s">
        <v>85</v>
      </c>
      <c r="S88" s="5"/>
      <c r="T88" s="272">
        <f>VLOOKUP($T$91,($A$23:$U$82),21,FALSE)</f>
        <v>6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86</v>
      </c>
      <c r="S89" s="5"/>
      <c r="T89" s="272">
        <f>MAX($V$23:$V$82)</f>
        <v>1</v>
      </c>
      <c r="U89" s="5"/>
    </row>
    <row r="90" spans="3:21" ht="12.75" hidden="1">
      <c r="C90" s="269"/>
      <c r="D90" s="269"/>
      <c r="E90" s="269"/>
      <c r="R90" s="5" t="s">
        <v>87</v>
      </c>
      <c r="S90" s="5" t="s">
        <v>10</v>
      </c>
      <c r="T90" s="273">
        <f>IF(OR(ISERROR(SUM($U$23:$U$82)/SUM($V$23:$V$82)),F7&lt;&gt;100),-1,(SUM($U$23:$U$82)-T88)/(SUM($V$23:$V$82)-T89))</f>
        <v>12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88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89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90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2016-03-23T11:33:32Z</dcterms:created>
  <dcterms:modified xsi:type="dcterms:W3CDTF">2016-03-23T11:33:34Z</dcterms:modified>
  <cp:category/>
  <cp:version/>
  <cp:contentType/>
  <cp:contentStatus/>
</cp:coreProperties>
</file>