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Var-Malaussene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'Var-Malaussene'!$A$1:$O$82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0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0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<sst xmlns="http://schemas.openxmlformats.org/spreadsheetml/2006/main" count="209" uniqueCount="90">
  <si>
    <t>Relevés floristiques aquatiques - IBMR</t>
  </si>
  <si>
    <t>GIS Macrophytes - juillet 2006</t>
  </si>
  <si>
    <t>ASCONIT</t>
  </si>
  <si>
    <t>AFA</t>
  </si>
  <si>
    <t>conforme AFNOR T90-395 oct. 2003</t>
  </si>
  <si>
    <t>Var</t>
  </si>
  <si>
    <t>Malaussene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</si>
  <si>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</si>
  <si>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</si>
  <si>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</si>
  <si>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</si>
  <si>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</si>
  <si>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</si>
  <si>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</si>
  <si>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CRA.COM</t>
  </si>
  <si>
    <t>Type de faciès</t>
  </si>
  <si>
    <t>radier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</si>
  <si>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</si>
  <si>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</si>
  <si>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</si>
  <si>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</si>
  <si>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</si>
  <si>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</si>
  <si>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</si>
  <si>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</si>
  <si>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</si>
  <si>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</si>
  <si>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</si>
  <si>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</si>
  <si>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</si>
  <si>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</si>
  <si>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</si>
  <si>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</si>
  <si>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</si>
  <si>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</si>
  <si>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</si>
  <si>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</si>
  <si>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</si>
  <si>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</si>
  <si>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</si>
  <si>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</si>
  <si>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</si>
  <si>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</si>
  <si>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</si>
  <si>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</si>
  <si>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</si>
  <si>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</si>
  <si>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</si>
  <si>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</si>
  <si>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</si>
  <si>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</si>
  <si>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</si>
  <si>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</si>
  <si>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</si>
  <si>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</si>
  <si>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</si>
  <si>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</si>
  <si>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</si>
  <si>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</si>
  <si>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</si>
  <si>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</si>
  <si>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</si>
  <si>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</si>
  <si>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</si>
  <si>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</si>
  <si>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</si>
  <si>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</si>
  <si>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</si>
  <si>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</si>
  <si>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</si>
  <si>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</si>
  <si>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</si>
  <si>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OSC.SPX</t>
  </si>
  <si>
    <t>CLA.SPX</t>
  </si>
  <si>
    <t>DIA.SPX</t>
  </si>
  <si>
    <t>CIN.RIP</t>
  </si>
  <si>
    <t>RHY.RIP</t>
  </si>
  <si>
    <t>EQU.PAL</t>
  </si>
  <si>
    <t>EQU.FLU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</si>
  <si>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</si>
  <si>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</si>
  <si>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</si>
  <si>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</si>
  <si>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</si>
  <si>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</si>
  <si>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</si>
  <si>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</si>
  <si>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</si>
  <si>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</si>
  <si>
    <t>06211000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</si>
</sst>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26" borderId="32" xfId="0" applyNumberFormat="1" applyFont="1" applyFill="1" applyBorder="1" applyAlignment="1" applyProtection="1">
      <alignment horizontal="right" vertical="top"/>
      <protection hidden="1"/>
    </xf>
    <xf numFmtId="2" fontId="30" fillId="26" borderId="33" xfId="0" applyNumberFormat="1" applyFont="1" applyFill="1" applyBorder="1" applyAlignment="1" applyProtection="1">
      <alignment horizontal="left" vertical="top"/>
      <protection hidden="1"/>
    </xf>
    <xf numFmtId="2" fontId="31" fillId="26" borderId="24" xfId="0" applyNumberFormat="1" applyFont="1" applyFill="1" applyBorder="1" applyAlignment="1" applyProtection="1">
      <alignment horizontal="left" vertical="top"/>
      <protection hidden="1"/>
    </xf>
    <xf numFmtId="2" fontId="0" fillId="26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26" borderId="38" xfId="0" applyFont="1" applyFill="1" applyBorder="1" applyAlignment="1" applyProtection="1">
      <alignment horizontal="left"/>
      <protection hidden="1"/>
    </xf>
    <xf numFmtId="0" fontId="24" fillId="26" borderId="39" xfId="0" applyFont="1" applyFill="1" applyBorder="1" applyAlignment="1" applyProtection="1">
      <alignment horizontal="right" vertical="top"/>
      <protection hidden="1"/>
    </xf>
    <xf numFmtId="0" fontId="33" fillId="26" borderId="40" xfId="0" applyFont="1" applyFill="1" applyBorder="1" applyAlignment="1" applyProtection="1">
      <alignment horizontal="center" vertical="top"/>
      <protection hidden="1"/>
    </xf>
    <xf numFmtId="0" fontId="33" fillId="26" borderId="41" xfId="0" applyFont="1" applyFill="1" applyBorder="1" applyAlignment="1" applyProtection="1">
      <alignment horizontal="center" vertical="top"/>
      <protection hidden="1"/>
    </xf>
    <xf numFmtId="0" fontId="32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5" fillId="4" borderId="43" xfId="0" applyFont="1" applyFill="1" applyBorder="1" applyAlignment="1" applyProtection="1">
      <alignment horizontal="left" vertical="top"/>
      <protection hidden="1"/>
    </xf>
    <xf numFmtId="0" fontId="36" fillId="4" borderId="22" xfId="0" applyFont="1" applyFill="1" applyBorder="1" applyAlignment="1" applyProtection="1">
      <alignment horizontal="left" vertical="top"/>
      <protection hidden="1"/>
    </xf>
    <xf numFmtId="0" fontId="36" fillId="4" borderId="44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7" fillId="4" borderId="45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6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8" fillId="20" borderId="11" xfId="0" applyNumberFormat="1" applyFont="1" applyFill="1" applyBorder="1" applyAlignment="1" applyProtection="1">
      <alignment horizontal="right"/>
      <protection hidden="1"/>
    </xf>
    <xf numFmtId="177" fontId="38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2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7" xfId="0" applyNumberFormat="1" applyFont="1" applyFill="1" applyBorder="1" applyAlignment="1" applyProtection="1">
      <alignment horizontal="left"/>
      <protection hidden="1"/>
    </xf>
    <xf numFmtId="0" fontId="0" fillId="15" borderId="48" xfId="0" applyFill="1" applyBorder="1" applyAlignment="1" applyProtection="1">
      <alignment/>
      <protection hidden="1"/>
    </xf>
    <xf numFmtId="0" fontId="0" fillId="15" borderId="49" xfId="0" applyFill="1" applyBorder="1" applyAlignment="1" applyProtection="1">
      <alignment/>
      <protection hidden="1"/>
    </xf>
    <xf numFmtId="0" fontId="39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50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7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6" xfId="0" applyNumberFormat="1" applyFont="1" applyFill="1" applyBorder="1" applyAlignment="1" applyProtection="1">
      <alignment horizontal="left" vertical="top"/>
      <protection hidden="1"/>
    </xf>
    <xf numFmtId="0" fontId="31" fillId="22" borderId="51" xfId="0" applyFont="1" applyFill="1" applyBorder="1" applyAlignment="1" applyProtection="1">
      <alignment/>
      <protection hidden="1"/>
    </xf>
    <xf numFmtId="2" fontId="0" fillId="25" borderId="52" xfId="0" applyNumberFormat="1" applyFont="1" applyFill="1" applyBorder="1" applyAlignment="1" applyProtection="1">
      <alignment horizontal="center"/>
      <protection locked="0"/>
    </xf>
    <xf numFmtId="2" fontId="0" fillId="25" borderId="53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0" fillId="20" borderId="0" xfId="0" applyNumberFormat="1" applyFont="1" applyFill="1" applyAlignment="1" applyProtection="1">
      <alignment/>
      <protection hidden="1"/>
    </xf>
    <xf numFmtId="177" fontId="40" fillId="20" borderId="0" xfId="0" applyNumberFormat="1" applyFont="1" applyFill="1" applyBorder="1" applyAlignment="1" applyProtection="1">
      <alignment/>
      <protection hidden="1"/>
    </xf>
    <xf numFmtId="1" fontId="0" fillId="4" borderId="54" xfId="0" applyNumberFormat="1" applyFont="1" applyFill="1" applyBorder="1" applyAlignment="1" applyProtection="1">
      <alignment horizontal="center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6" xfId="0" applyNumberFormat="1" applyFont="1" applyFill="1" applyBorder="1" applyAlignment="1" applyProtection="1">
      <alignment horizontal="left"/>
      <protection hidden="1"/>
    </xf>
    <xf numFmtId="0" fontId="31" fillId="22" borderId="57" xfId="0" applyFont="1" applyFill="1" applyBorder="1" applyAlignment="1" applyProtection="1">
      <alignment/>
      <protection hidden="1"/>
    </xf>
    <xf numFmtId="2" fontId="0" fillId="25" borderId="58" xfId="0" applyNumberFormat="1" applyFont="1" applyFill="1" applyBorder="1" applyAlignment="1" applyProtection="1">
      <alignment horizontal="center"/>
      <protection locked="0"/>
    </xf>
    <xf numFmtId="2" fontId="0" fillId="25" borderId="59" xfId="0" applyNumberFormat="1" applyFont="1" applyFill="1" applyBorder="1" applyAlignment="1" applyProtection="1">
      <alignment horizontal="center"/>
      <protection locked="0"/>
    </xf>
    <xf numFmtId="177" fontId="40" fillId="20" borderId="0" xfId="0" applyNumberFormat="1" applyFont="1" applyFill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5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6" fillId="4" borderId="60" xfId="0" applyFont="1" applyFill="1" applyBorder="1" applyAlignment="1" applyProtection="1">
      <alignment horizontal="left" vertical="top"/>
      <protection hidden="1"/>
    </xf>
    <xf numFmtId="1" fontId="0" fillId="4" borderId="61" xfId="0" applyNumberFormat="1" applyFont="1" applyFill="1" applyBorder="1" applyAlignment="1" applyProtection="1">
      <alignment horizontal="center"/>
      <protection hidden="1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63" xfId="0" applyFont="1" applyFill="1" applyBorder="1" applyAlignment="1" applyProtection="1">
      <alignment horizontal="left" vertical="top"/>
      <protection hidden="1"/>
    </xf>
    <xf numFmtId="0" fontId="31" fillId="4" borderId="64" xfId="0" applyFont="1" applyFill="1" applyBorder="1" applyAlignment="1" applyProtection="1">
      <alignment horizontal="right" vertical="top"/>
      <protection hidden="1"/>
    </xf>
    <xf numFmtId="169" fontId="0" fillId="4" borderId="65" xfId="0" applyNumberFormat="1" applyFont="1" applyFill="1" applyBorder="1" applyAlignment="1" applyProtection="1">
      <alignment horizontal="right" vertical="top"/>
      <protection hidden="1"/>
    </xf>
    <xf numFmtId="0" fontId="0" fillId="4" borderId="66" xfId="0" applyFont="1" applyFill="1" applyBorder="1" applyAlignment="1" applyProtection="1">
      <alignment horizontal="left" vertical="top"/>
      <protection hidden="1"/>
    </xf>
    <xf numFmtId="0" fontId="31" fillId="22" borderId="67" xfId="0" applyFont="1" applyFill="1" applyBorder="1" applyAlignment="1" applyProtection="1">
      <alignment/>
      <protection hidden="1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2" fontId="0" fillId="25" borderId="69" xfId="0" applyNumberFormat="1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6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0" fillId="20" borderId="17" xfId="0" applyNumberFormat="1" applyFont="1" applyFill="1" applyBorder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71" xfId="0" applyFont="1" applyFill="1" applyBorder="1" applyAlignment="1" applyProtection="1">
      <alignment/>
      <protection hidden="1"/>
    </xf>
    <xf numFmtId="2" fontId="0" fillId="25" borderId="72" xfId="0" applyNumberFormat="1" applyFont="1" applyFill="1" applyBorder="1" applyAlignment="1" applyProtection="1">
      <alignment horizontal="center"/>
      <protection locked="0"/>
    </xf>
    <xf numFmtId="2" fontId="0" fillId="25" borderId="73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20" borderId="10" xfId="0" applyFont="1" applyFill="1" applyBorder="1" applyAlignment="1" applyProtection="1">
      <alignment/>
      <protection hidden="1"/>
    </xf>
    <xf numFmtId="0" fontId="41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2" fillId="17" borderId="36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74" xfId="0" applyNumberFormat="1" applyFont="1" applyFill="1" applyBorder="1" applyAlignment="1" applyProtection="1">
      <alignment horizontal="left"/>
      <protection hidden="1"/>
    </xf>
    <xf numFmtId="0" fontId="0" fillId="4" borderId="75" xfId="0" applyFill="1" applyBorder="1" applyAlignment="1" applyProtection="1">
      <alignment/>
      <protection hidden="1"/>
    </xf>
    <xf numFmtId="0" fontId="0" fillId="4" borderId="76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28" fillId="17" borderId="77" xfId="0" applyFont="1" applyFill="1" applyBorder="1" applyAlignment="1" applyProtection="1">
      <alignment horizontal="center"/>
      <protection hidden="1"/>
    </xf>
    <xf numFmtId="2" fontId="40" fillId="22" borderId="0" xfId="0" applyNumberFormat="1" applyFont="1" applyFill="1" applyAlignment="1" applyProtection="1">
      <alignment/>
      <protection hidden="1"/>
    </xf>
    <xf numFmtId="1" fontId="24" fillId="22" borderId="77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8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3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1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4" fillId="22" borderId="0" xfId="0" applyFont="1" applyFill="1" applyBorder="1" applyAlignment="1" applyProtection="1">
      <alignment/>
      <protection hidden="1"/>
    </xf>
    <xf numFmtId="0" fontId="44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3" fillId="22" borderId="27" xfId="0" applyFont="1" applyFill="1" applyBorder="1" applyAlignment="1" applyProtection="1">
      <alignment horizontal="center"/>
      <protection hidden="1"/>
    </xf>
    <xf numFmtId="177" fontId="43" fillId="22" borderId="79" xfId="0" applyNumberFormat="1" applyFont="1" applyFill="1" applyBorder="1" applyAlignment="1" applyProtection="1">
      <alignment horizontal="center"/>
      <protection hidden="1"/>
    </xf>
    <xf numFmtId="177" fontId="0" fillId="22" borderId="79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7" xfId="0" applyNumberFormat="1" applyFont="1" applyFill="1" applyBorder="1" applyAlignment="1" applyProtection="1">
      <alignment horizontal="center"/>
      <protection hidden="1"/>
    </xf>
    <xf numFmtId="177" fontId="35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0" fontId="26" fillId="17" borderId="77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8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81" xfId="0" applyNumberFormat="1" applyFont="1" applyFill="1" applyBorder="1" applyAlignment="1" applyProtection="1">
      <alignment/>
      <protection locked="0"/>
    </xf>
    <xf numFmtId="2" fontId="0" fillId="25" borderId="79" xfId="0" applyNumberFormat="1" applyFont="1" applyFill="1" applyBorder="1" applyAlignment="1" applyProtection="1">
      <alignment/>
      <protection locked="0"/>
    </xf>
    <xf numFmtId="2" fontId="0" fillId="25" borderId="53" xfId="0" applyNumberFormat="1" applyFont="1" applyFill="1" applyBorder="1" applyAlignment="1" applyProtection="1">
      <alignment/>
      <protection locked="0"/>
    </xf>
    <xf numFmtId="0" fontId="0" fillId="17" borderId="53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40" fillId="20" borderId="82" xfId="0" applyNumberFormat="1" applyFont="1" applyFill="1" applyBorder="1" applyAlignment="1" applyProtection="1">
      <alignment/>
      <protection hidden="1"/>
    </xf>
    <xf numFmtId="1" fontId="45" fillId="17" borderId="83" xfId="0" applyNumberFormat="1" applyFont="1" applyFill="1" applyBorder="1" applyAlignment="1" applyProtection="1">
      <alignment horizontal="center"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1" fontId="26" fillId="22" borderId="84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43" fillId="20" borderId="85" xfId="0" applyFont="1" applyFill="1" applyBorder="1" applyAlignment="1" applyProtection="1">
      <alignment horizontal="right"/>
      <protection hidden="1"/>
    </xf>
    <xf numFmtId="0" fontId="0" fillId="17" borderId="45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3" fillId="17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7" xfId="0" applyNumberFormat="1" applyFont="1" applyFill="1" applyBorder="1" applyAlignment="1" applyProtection="1">
      <alignment/>
      <protection locked="0"/>
    </xf>
    <xf numFmtId="2" fontId="0" fillId="25" borderId="85" xfId="0" applyNumberFormat="1" applyFont="1" applyFill="1" applyBorder="1" applyAlignment="1" applyProtection="1">
      <alignment/>
      <protection locked="0"/>
    </xf>
    <xf numFmtId="2" fontId="0" fillId="25" borderId="59" xfId="0" applyNumberFormat="1" applyFont="1" applyFill="1" applyBorder="1" applyAlignment="1" applyProtection="1">
      <alignment/>
      <protection locked="0"/>
    </xf>
    <xf numFmtId="0" fontId="0" fillId="17" borderId="59" xfId="0" applyNumberFormat="1" applyFont="1" applyFill="1" applyBorder="1" applyAlignment="1" applyProtection="1">
      <alignment/>
      <protection hidden="1"/>
    </xf>
    <xf numFmtId="0" fontId="0" fillId="22" borderId="86" xfId="0" applyNumberFormat="1" applyFont="1" applyFill="1" applyBorder="1" applyAlignment="1" applyProtection="1">
      <alignment/>
      <protection hidden="1"/>
    </xf>
    <xf numFmtId="0" fontId="40" fillId="20" borderId="87" xfId="0" applyNumberFormat="1" applyFont="1" applyFill="1" applyBorder="1" applyAlignment="1" applyProtection="1">
      <alignment/>
      <protection hidden="1"/>
    </xf>
    <xf numFmtId="1" fontId="26" fillId="22" borderId="88" xfId="0" applyNumberFormat="1" applyFont="1" applyFill="1" applyBorder="1" applyAlignment="1" applyProtection="1">
      <alignment horizontal="center"/>
      <protection hidden="1"/>
    </xf>
    <xf numFmtId="0" fontId="31" fillId="20" borderId="88" xfId="0" applyFont="1" applyFill="1" applyBorder="1" applyAlignment="1" applyProtection="1">
      <alignment horizontal="left"/>
      <protection hidden="1"/>
    </xf>
    <xf numFmtId="0" fontId="0" fillId="20" borderId="88" xfId="0" applyFont="1" applyFill="1" applyBorder="1" applyAlignment="1" applyProtection="1">
      <alignment horizontal="left"/>
      <protection hidden="1"/>
    </xf>
    <xf numFmtId="0" fontId="0" fillId="17" borderId="47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8" xfId="0" applyFill="1" applyBorder="1" applyAlignment="1">
      <alignment/>
    </xf>
    <xf numFmtId="0" fontId="43" fillId="20" borderId="85" xfId="0" applyFont="1" applyFill="1" applyBorder="1" applyAlignment="1">
      <alignment horizontal="right"/>
    </xf>
    <xf numFmtId="0" fontId="0" fillId="22" borderId="87" xfId="0" applyNumberFormat="1" applyFont="1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71" xfId="0" applyNumberFormat="1" applyFont="1" applyFill="1" applyBorder="1" applyAlignment="1" applyProtection="1">
      <alignment/>
      <protection locked="0"/>
    </xf>
    <xf numFmtId="2" fontId="0" fillId="25" borderId="89" xfId="0" applyNumberFormat="1" applyFont="1" applyFill="1" applyBorder="1" applyAlignment="1" applyProtection="1">
      <alignment/>
      <protection locked="0"/>
    </xf>
    <xf numFmtId="2" fontId="0" fillId="25" borderId="73" xfId="0" applyNumberFormat="1" applyFont="1" applyFill="1" applyBorder="1" applyAlignment="1" applyProtection="1">
      <alignment/>
      <protection locked="0"/>
    </xf>
    <xf numFmtId="0" fontId="0" fillId="17" borderId="73" xfId="0" applyNumberFormat="1" applyFont="1" applyFill="1" applyBorder="1" applyAlignment="1" applyProtection="1">
      <alignment/>
      <protection hidden="1"/>
    </xf>
    <xf numFmtId="0" fontId="0" fillId="22" borderId="90" xfId="0" applyNumberFormat="1" applyFont="1" applyFill="1" applyBorder="1" applyAlignment="1" applyProtection="1">
      <alignment/>
      <protection hidden="1"/>
    </xf>
    <xf numFmtId="0" fontId="40" fillId="20" borderId="90" xfId="0" applyNumberFormat="1" applyFont="1" applyFill="1" applyBorder="1" applyAlignment="1" applyProtection="1">
      <alignment/>
      <protection hidden="1"/>
    </xf>
    <xf numFmtId="1" fontId="26" fillId="22" borderId="91" xfId="0" applyNumberFormat="1" applyFont="1" applyFill="1" applyBorder="1" applyAlignment="1" applyProtection="1">
      <alignment horizontal="center"/>
      <protection hidden="1"/>
    </xf>
    <xf numFmtId="0" fontId="31" fillId="20" borderId="91" xfId="0" applyFont="1" applyFill="1" applyBorder="1" applyAlignment="1" applyProtection="1">
      <alignment horizontal="left"/>
      <protection hidden="1"/>
    </xf>
    <xf numFmtId="0" fontId="0" fillId="20" borderId="91" xfId="0" applyFill="1" applyBorder="1" applyAlignment="1">
      <alignment/>
    </xf>
    <xf numFmtId="0" fontId="43" fillId="20" borderId="89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5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38150"/>
          <a:chOff x="788" y="1"/>
          <a:chExt cx="94" cy="45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IBMR-REF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Argens-Chateauvert"/>
      <sheetName val="Asse-Beynes"/>
      <sheetName val="Bes-Barles"/>
      <sheetName val="Esteron-Gilette"/>
      <sheetName val="Gapeau-Belgentier"/>
      <sheetName val="Lez-Taulignan"/>
      <sheetName val="Loup-Courmes"/>
      <sheetName val="Loup-Tourette"/>
      <sheetName val="Méouges"/>
      <sheetName val="Nartuby-Chateaudouble"/>
      <sheetName val="Paillon-Conte-Coaraze"/>
      <sheetName val="Real-Collobrier-Collobrieres"/>
      <sheetName val="Siagne-St-Cezaire"/>
      <sheetName val="Sorgues-Fontaine"/>
      <sheetName val="Toulourenc-St-Leger-V"/>
      <sheetName val="Var-Entrevaux"/>
      <sheetName val="modele"/>
      <sheetName val="liste codes réf"/>
      <sheetName val="Graphes"/>
      <sheetName val="Feuil19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21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V34" sqref="V34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4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46" hidden="1" customWidth="1"/>
    <col min="18" max="18" width="7.00390625" style="146" hidden="1" customWidth="1"/>
    <col min="19" max="19" width="4.8515625" style="146" hidden="1" customWidth="1"/>
    <col min="20" max="21" width="3.140625" style="14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4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89</v>
      </c>
      <c r="L3" s="27"/>
      <c r="M3" s="28" t="s">
        <v>7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40024</v>
      </c>
      <c r="B4" s="32"/>
      <c r="C4" s="33"/>
      <c r="D4" s="34"/>
      <c r="E4" s="34"/>
      <c r="F4" s="33"/>
      <c r="G4" s="33"/>
      <c r="H4" s="34"/>
      <c r="I4" s="35" t="s">
        <v>8</v>
      </c>
      <c r="J4" s="36"/>
      <c r="K4" s="36"/>
      <c r="L4" s="37"/>
      <c r="M4" s="37"/>
      <c r="N4" s="38" t="s">
        <v>9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10</v>
      </c>
      <c r="C5" s="43" t="s">
        <v>11</v>
      </c>
      <c r="D5" s="44"/>
      <c r="E5" s="44"/>
      <c r="F5" s="45" t="s">
        <v>12</v>
      </c>
      <c r="G5" s="46"/>
      <c r="H5" s="44"/>
      <c r="I5" s="47"/>
      <c r="J5" s="48"/>
      <c r="K5" s="49" t="s">
        <v>13</v>
      </c>
      <c r="L5" s="50">
        <v>11.916666666666666</v>
      </c>
      <c r="M5" s="51"/>
      <c r="N5" s="52" t="s">
        <v>14</v>
      </c>
      <c r="O5" s="53">
        <v>11.3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15</v>
      </c>
      <c r="B6" s="55" t="s">
        <v>16</v>
      </c>
      <c r="C6" s="56"/>
      <c r="D6" s="44"/>
      <c r="E6" s="44"/>
      <c r="F6" s="45"/>
      <c r="G6" s="46"/>
      <c r="H6" s="44"/>
      <c r="I6" s="57" t="s">
        <v>17</v>
      </c>
      <c r="J6" s="58"/>
      <c r="K6" s="59"/>
      <c r="L6" s="60" t="s">
        <v>18</v>
      </c>
      <c r="M6" s="61"/>
      <c r="N6" s="62" t="s">
        <v>19</v>
      </c>
      <c r="O6" s="63"/>
      <c r="P6" s="7"/>
      <c r="Q6" s="7"/>
      <c r="R6" s="7"/>
      <c r="S6" s="7"/>
      <c r="T6" s="7"/>
      <c r="U6" s="7"/>
      <c r="V6" s="20"/>
      <c r="W6" s="21"/>
    </row>
    <row r="7" spans="1:23" ht="12.75">
      <c r="A7" s="64" t="s">
        <v>20</v>
      </c>
      <c r="B7" s="65">
        <v>100</v>
      </c>
      <c r="C7" s="66"/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21</v>
      </c>
      <c r="O7" s="76" t="s">
        <v>22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77" t="s">
        <v>23</v>
      </c>
      <c r="B8" s="78"/>
      <c r="C8" s="78"/>
      <c r="D8" s="67"/>
      <c r="E8" s="67"/>
      <c r="F8" s="79" t="s">
        <v>24</v>
      </c>
      <c r="G8" s="80"/>
      <c r="H8" s="81"/>
      <c r="I8" s="70"/>
      <c r="J8" s="71"/>
      <c r="K8" s="72"/>
      <c r="L8" s="73"/>
      <c r="M8" s="82" t="s">
        <v>25</v>
      </c>
      <c r="N8" s="83">
        <f>AVERAGE(I23:I82)</f>
        <v>11.375</v>
      </c>
      <c r="O8" s="84">
        <f>AVERAGE(J23:J82)</f>
        <v>1.5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5" t="s">
        <v>26</v>
      </c>
      <c r="B9" s="86"/>
      <c r="C9" s="87"/>
      <c r="D9" s="88"/>
      <c r="E9" s="88"/>
      <c r="F9" s="89">
        <f aca="true" t="shared" si="0" ref="F9:G18">($B9*$B$7+$C9*$C$7)/100</f>
        <v>0</v>
      </c>
      <c r="G9" s="90"/>
      <c r="H9" s="91"/>
      <c r="I9" s="92"/>
      <c r="J9" s="93"/>
      <c r="K9" s="72"/>
      <c r="L9" s="94"/>
      <c r="M9" s="82" t="s">
        <v>27</v>
      </c>
      <c r="N9" s="83">
        <f>STDEV(I23:I82)</f>
        <v>2.615202805574687</v>
      </c>
      <c r="O9" s="84">
        <f>STDEV(J23:J82)</f>
        <v>0.5345224838248488</v>
      </c>
      <c r="P9" s="7"/>
      <c r="Q9" s="7"/>
      <c r="R9" s="7"/>
      <c r="S9" s="7"/>
      <c r="T9" s="7"/>
      <c r="U9" s="7"/>
      <c r="V9" s="95"/>
      <c r="W9" s="96"/>
    </row>
    <row r="10" spans="1:21" ht="13.5" thickTop="1">
      <c r="A10" s="97" t="s">
        <v>28</v>
      </c>
      <c r="B10" s="98"/>
      <c r="C10" s="99"/>
      <c r="D10" s="100"/>
      <c r="E10" s="100"/>
      <c r="F10" s="89">
        <f t="shared" si="0"/>
        <v>0</v>
      </c>
      <c r="G10" s="90"/>
      <c r="H10" s="101"/>
      <c r="I10" s="102"/>
      <c r="J10" s="103" t="s">
        <v>29</v>
      </c>
      <c r="K10" s="103"/>
      <c r="L10" s="104"/>
      <c r="M10" s="105" t="s">
        <v>30</v>
      </c>
      <c r="N10" s="106">
        <f>MIN(I23:I82)</f>
        <v>6</v>
      </c>
      <c r="O10" s="107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8" t="s">
        <v>31</v>
      </c>
      <c r="B11" s="109">
        <v>0</v>
      </c>
      <c r="C11" s="110"/>
      <c r="D11" s="111"/>
      <c r="E11" s="111"/>
      <c r="F11" s="112">
        <f t="shared" si="0"/>
        <v>0</v>
      </c>
      <c r="G11" s="113"/>
      <c r="H11" s="67"/>
      <c r="I11" s="114" t="s">
        <v>32</v>
      </c>
      <c r="J11" s="115"/>
      <c r="K11" s="116">
        <f>COUNTIF($G$23:$G$82,"=HET")</f>
        <v>0</v>
      </c>
      <c r="L11" s="117"/>
      <c r="M11" s="105" t="s">
        <v>33</v>
      </c>
      <c r="N11" s="106">
        <f>MAX(I23:I82)</f>
        <v>15</v>
      </c>
      <c r="O11" s="107">
        <f>MAX(J23:J82)</f>
        <v>2</v>
      </c>
      <c r="P11" s="7"/>
      <c r="Q11" s="7"/>
      <c r="R11" s="7"/>
      <c r="S11" s="7"/>
      <c r="T11" s="7"/>
      <c r="U11" s="7"/>
    </row>
    <row r="12" spans="1:21" ht="12.75">
      <c r="A12" s="118" t="s">
        <v>34</v>
      </c>
      <c r="B12" s="119">
        <v>0.03</v>
      </c>
      <c r="C12" s="120"/>
      <c r="D12" s="111"/>
      <c r="E12" s="111"/>
      <c r="F12" s="112">
        <f t="shared" si="0"/>
        <v>0.03</v>
      </c>
      <c r="G12" s="121"/>
      <c r="H12" s="67"/>
      <c r="I12" s="122" t="s">
        <v>35</v>
      </c>
      <c r="J12" s="123"/>
      <c r="K12" s="116">
        <f>COUNTIF($G$23:$G$82,"=ALG")</f>
        <v>3</v>
      </c>
      <c r="L12" s="124"/>
      <c r="M12" s="125"/>
      <c r="N12" s="126" t="s">
        <v>29</v>
      </c>
      <c r="O12" s="127"/>
      <c r="P12" s="7"/>
      <c r="Q12" s="7"/>
      <c r="R12" s="7"/>
      <c r="S12" s="7"/>
      <c r="T12" s="7"/>
      <c r="U12" s="7"/>
    </row>
    <row r="13" spans="1:21" ht="12.75">
      <c r="A13" s="118" t="s">
        <v>36</v>
      </c>
      <c r="B13" s="119">
        <v>0.03</v>
      </c>
      <c r="C13" s="120"/>
      <c r="D13" s="111"/>
      <c r="E13" s="111"/>
      <c r="F13" s="112">
        <f t="shared" si="0"/>
        <v>0.03</v>
      </c>
      <c r="G13" s="121"/>
      <c r="H13" s="67"/>
      <c r="I13" s="128" t="s">
        <v>37</v>
      </c>
      <c r="J13" s="123"/>
      <c r="K13" s="116">
        <f>COUNTIF($G$23:$G$82,"=BRm")+COUNTIF($G$23:$G$82,"=BRh")</f>
        <v>3</v>
      </c>
      <c r="L13" s="117"/>
      <c r="M13" s="129" t="s">
        <v>38</v>
      </c>
      <c r="N13" s="130">
        <f>COUNTIF(F23:F82,"&gt;0")</f>
        <v>8</v>
      </c>
      <c r="O13" s="131"/>
      <c r="P13" s="7"/>
      <c r="Q13" s="7"/>
      <c r="R13" s="7"/>
      <c r="S13" s="7"/>
      <c r="T13" s="7"/>
      <c r="U13" s="7"/>
    </row>
    <row r="14" spans="1:21" ht="12.75">
      <c r="A14" s="118" t="s">
        <v>39</v>
      </c>
      <c r="B14" s="119">
        <v>0.02</v>
      </c>
      <c r="C14" s="120"/>
      <c r="D14" s="111"/>
      <c r="E14" s="111"/>
      <c r="F14" s="112">
        <f t="shared" si="0"/>
        <v>0.02</v>
      </c>
      <c r="G14" s="121"/>
      <c r="H14" s="67"/>
      <c r="I14" s="128" t="s">
        <v>40</v>
      </c>
      <c r="J14" s="123"/>
      <c r="K14" s="116">
        <f>COUNTIF($G$23:$G$82,"=PTE")</f>
        <v>2</v>
      </c>
      <c r="L14" s="117"/>
      <c r="M14" s="132" t="s">
        <v>41</v>
      </c>
      <c r="N14" s="133">
        <f>COUNTIF($I$23:$I$82,"&gt;-1")</f>
        <v>8</v>
      </c>
      <c r="O14" s="134"/>
      <c r="P14" s="7"/>
      <c r="Q14" s="7"/>
      <c r="R14" s="7"/>
      <c r="S14" s="7"/>
      <c r="T14" s="7"/>
      <c r="U14" s="7"/>
    </row>
    <row r="15" spans="1:21" ht="12.75">
      <c r="A15" s="135" t="s">
        <v>42</v>
      </c>
      <c r="B15" s="136">
        <v>0</v>
      </c>
      <c r="C15" s="137"/>
      <c r="D15" s="111"/>
      <c r="E15" s="111"/>
      <c r="F15" s="112">
        <f t="shared" si="0"/>
        <v>0</v>
      </c>
      <c r="G15" s="121"/>
      <c r="H15" s="67"/>
      <c r="I15" s="128" t="s">
        <v>43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38" t="s">
        <v>44</v>
      </c>
      <c r="N15" s="139">
        <f>COUNTIF(J23:J82,"=1")</f>
        <v>4</v>
      </c>
      <c r="O15" s="140"/>
      <c r="P15" s="7"/>
      <c r="Q15" s="7"/>
      <c r="R15" s="7"/>
      <c r="S15" s="7"/>
      <c r="T15" s="7"/>
      <c r="U15" s="7"/>
    </row>
    <row r="16" spans="1:21" ht="12.75">
      <c r="A16" s="108" t="s">
        <v>45</v>
      </c>
      <c r="B16" s="109">
        <v>0</v>
      </c>
      <c r="C16" s="110"/>
      <c r="D16" s="141"/>
      <c r="E16" s="141"/>
      <c r="F16" s="142"/>
      <c r="G16" s="142">
        <f t="shared" si="0"/>
        <v>0</v>
      </c>
      <c r="H16" s="67"/>
      <c r="I16" s="143"/>
      <c r="J16" s="144"/>
      <c r="K16" s="144"/>
      <c r="L16" s="117"/>
      <c r="M16" s="138" t="s">
        <v>46</v>
      </c>
      <c r="N16" s="139">
        <f>COUNTIF(J23:J82,"=2")</f>
        <v>4</v>
      </c>
      <c r="O16" s="140"/>
      <c r="P16" s="7"/>
      <c r="Q16" s="7"/>
      <c r="R16" s="7"/>
      <c r="S16" s="7"/>
      <c r="T16" s="7"/>
      <c r="U16" s="7"/>
    </row>
    <row r="17" spans="1:21" ht="12.75">
      <c r="A17" s="118" t="s">
        <v>47</v>
      </c>
      <c r="B17" s="119">
        <v>0.08</v>
      </c>
      <c r="C17" s="120"/>
      <c r="D17" s="111"/>
      <c r="E17" s="111"/>
      <c r="F17" s="145"/>
      <c r="G17" s="112">
        <f t="shared" si="0"/>
        <v>0.08</v>
      </c>
      <c r="H17" s="67"/>
      <c r="I17" s="128"/>
      <c r="J17" s="123"/>
      <c r="K17" s="144"/>
      <c r="L17" s="117"/>
      <c r="M17" s="138" t="s">
        <v>48</v>
      </c>
      <c r="N17" s="139">
        <f>COUNTIF(J23:J82,"=3")</f>
        <v>0</v>
      </c>
      <c r="O17" s="140"/>
      <c r="P17" s="7"/>
      <c r="Q17" s="7"/>
      <c r="R17" s="7"/>
      <c r="S17" s="7"/>
      <c r="T17" s="7"/>
      <c r="U17" s="7"/>
    </row>
    <row r="18" spans="1:22" ht="12.75">
      <c r="A18" s="147" t="s">
        <v>49</v>
      </c>
      <c r="B18" s="148">
        <v>0</v>
      </c>
      <c r="C18" s="149"/>
      <c r="D18" s="111"/>
      <c r="E18" s="150" t="s">
        <v>50</v>
      </c>
      <c r="F18" s="145"/>
      <c r="G18" s="112">
        <f t="shared" si="0"/>
        <v>0</v>
      </c>
      <c r="H18" s="67"/>
      <c r="I18" s="128"/>
      <c r="J18" s="123"/>
      <c r="K18" s="144"/>
      <c r="L18" s="117"/>
      <c r="M18" s="151"/>
      <c r="N18" s="151"/>
      <c r="O18" s="140"/>
      <c r="P18" s="7"/>
      <c r="Q18" s="7"/>
      <c r="R18" s="7"/>
      <c r="S18" s="7"/>
      <c r="T18" s="7"/>
      <c r="U18" s="7"/>
      <c r="V18" s="152" t="s">
        <v>51</v>
      </c>
    </row>
    <row r="19" spans="1:22" ht="13.5" thickBot="1">
      <c r="A19" s="153">
        <f>IF(AND(OR(AND((B9=""),(B7="")),(B9=""),AND(ISNUMBER(B9),ISNUMBER(B7))),OR(AND((C9=""),(C7="")),(C9=""),AND(ISNUMBER(C9),ISNUMBER(C7)))),"","ATTENTION: renseigner % faciès / station")</f>
      </c>
      <c r="B19" s="154"/>
      <c r="C19" s="155"/>
      <c r="D19" s="156">
        <f>IF(G19=F19,"","ATTENTION : le total par grp. floristiques doit être égal")</f>
      </c>
      <c r="E19" s="157">
        <f>IF(G19=F19,"","au total par grp. Fonctionnels !")</f>
      </c>
      <c r="F19" s="158">
        <f>SUM(F11:F15)</f>
        <v>0.08</v>
      </c>
      <c r="G19" s="158">
        <f>SUM(G16:G18)</f>
        <v>0.08</v>
      </c>
      <c r="H19" s="159"/>
      <c r="I19" s="160"/>
      <c r="J19" s="161"/>
      <c r="K19" s="162"/>
      <c r="L19" s="163"/>
      <c r="M19" s="164"/>
      <c r="N19" s="59"/>
      <c r="O19" s="165"/>
      <c r="P19" s="7"/>
      <c r="Q19" s="7"/>
      <c r="R19" s="7"/>
      <c r="S19" s="7"/>
      <c r="T19" s="7"/>
      <c r="U19" s="7"/>
      <c r="V19" s="152" t="s">
        <v>51</v>
      </c>
    </row>
    <row r="20" spans="1:22" ht="12.75">
      <c r="A20" s="85" t="s">
        <v>88</v>
      </c>
      <c r="B20" s="166">
        <f>SUM(B23:B82)</f>
        <v>0.08</v>
      </c>
      <c r="C20" s="167">
        <f>SUM(C23:C82)</f>
        <v>0</v>
      </c>
      <c r="D20" s="168"/>
      <c r="E20" s="169" t="s">
        <v>50</v>
      </c>
      <c r="F20" s="170">
        <f>($B20*$B$7+$C20*$C$7)/100</f>
        <v>0.08</v>
      </c>
      <c r="G20" s="171"/>
      <c r="H20" s="172"/>
      <c r="I20" s="173"/>
      <c r="J20" s="173"/>
      <c r="K20" s="174"/>
      <c r="L20" s="45"/>
      <c r="M20" s="175"/>
      <c r="N20" s="175"/>
      <c r="O20" s="176"/>
      <c r="P20" s="177" t="s">
        <v>52</v>
      </c>
      <c r="Q20" s="7"/>
      <c r="R20" s="7"/>
      <c r="S20" s="7"/>
      <c r="T20" s="7"/>
      <c r="U20" s="7"/>
      <c r="V20" s="152" t="s">
        <v>51</v>
      </c>
    </row>
    <row r="21" spans="1:22" ht="12.75">
      <c r="A21" s="178" t="s">
        <v>53</v>
      </c>
      <c r="B21" s="179">
        <f>B20*B7/100</f>
        <v>0.08</v>
      </c>
      <c r="C21" s="179">
        <f>C20*C7/100</f>
        <v>0</v>
      </c>
      <c r="D21" s="111">
        <f>IF(F21=0,"",IF((ABS(F21-F19))&gt;(0.2*F21),CONCATENATE(" rec. par taxa (",F21," %) supérieur à 20 % !"),""))</f>
      </c>
      <c r="E21" s="180">
        <f>IF(F21=0,"",IF((ABS(F21-F19))&gt;(0.2*F21),CONCATENATE("ATTENTION : écart entre rec. par grp (",F19," %) ","et",""),""))</f>
      </c>
      <c r="F21" s="181">
        <f>B21+C21</f>
        <v>0.08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 t="s">
        <v>54</v>
      </c>
      <c r="Q21" s="7"/>
      <c r="R21" s="7"/>
      <c r="S21" s="7"/>
      <c r="T21" s="7"/>
      <c r="U21" s="7"/>
      <c r="V21" s="152" t="s">
        <v>51</v>
      </c>
    </row>
    <row r="22" spans="1:27" ht="12.75">
      <c r="A22" s="188" t="s">
        <v>55</v>
      </c>
      <c r="B22" s="189" t="s">
        <v>56</v>
      </c>
      <c r="C22" s="190" t="s">
        <v>56</v>
      </c>
      <c r="D22" s="141"/>
      <c r="E22" s="141"/>
      <c r="F22" s="191" t="s">
        <v>57</v>
      </c>
      <c r="G22" s="192" t="s">
        <v>58</v>
      </c>
      <c r="H22" s="141"/>
      <c r="I22" s="193" t="s">
        <v>59</v>
      </c>
      <c r="J22" s="193" t="s">
        <v>60</v>
      </c>
      <c r="K22" s="194" t="s">
        <v>61</v>
      </c>
      <c r="L22" s="194"/>
      <c r="M22" s="194"/>
      <c r="N22" s="194"/>
      <c r="O22" s="195"/>
      <c r="P22" s="196" t="s">
        <v>62</v>
      </c>
      <c r="Q22" s="197" t="s">
        <v>63</v>
      </c>
      <c r="R22" s="198" t="s">
        <v>64</v>
      </c>
      <c r="S22" s="199" t="s">
        <v>65</v>
      </c>
      <c r="T22" s="200" t="s">
        <v>66</v>
      </c>
      <c r="U22" s="198" t="s">
        <v>67</v>
      </c>
      <c r="X22" s="7" t="s">
        <v>68</v>
      </c>
      <c r="Y22" s="7" t="s">
        <v>69</v>
      </c>
      <c r="Z22" s="201" t="s">
        <v>70</v>
      </c>
      <c r="AA22" s="201" t="s">
        <v>71</v>
      </c>
    </row>
    <row r="23" spans="1:54" ht="12.75">
      <c r="A23" s="202" t="s">
        <v>72</v>
      </c>
      <c r="B23" s="203">
        <v>0.01</v>
      </c>
      <c r="C23" s="204"/>
      <c r="D23" s="205" t="str">
        <f>IF(ISERROR(VLOOKUP($A23,'[1]liste reference'!$A$7:$D$906,2,0)),IF(ISERROR(VLOOKUP($A23,'[1]liste reference'!$B$7:$D$906,1,0)),"",VLOOKUP($A23,'[1]liste reference'!$B$7:$D$906,1,0)),VLOOKUP($A23,'[1]liste reference'!$A$7:$D$906,2,0))</f>
        <v>Oscillatoria sp.       </v>
      </c>
      <c r="E23" s="205" t="e">
        <f>IF(D23="",,VLOOKUP(D23,D$22:D22,1,0))</f>
        <v>#N/A</v>
      </c>
      <c r="F23" s="206">
        <f aca="true" t="shared" si="1" ref="F23:F82">($B23*$B$7+$C23*$C$7)/100</f>
        <v>0.01</v>
      </c>
      <c r="G23" s="207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208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209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11</v>
      </c>
      <c r="J23" s="210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211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Oscillatoria sp.       </v>
      </c>
      <c r="L23" s="212"/>
      <c r="M23" s="212"/>
      <c r="N23" s="212"/>
      <c r="O23" s="213"/>
      <c r="P23" s="214">
        <f aca="true" t="shared" si="2" ref="P23:P82">IF(ISTEXT(H23),"",(B23*$B$7/100)+(C23*$C$7/100))</f>
        <v>0.01</v>
      </c>
      <c r="Q23" s="215">
        <f>IF(OR(ISTEXT(H23),P23=0),"",IF(P23&lt;0.1,1,IF(P23&lt;1,2,IF(P23&lt;10,3,IF(P23&lt;50,4,IF(P23&gt;=50,5,""))))))</f>
        <v>1</v>
      </c>
      <c r="R23" s="215">
        <f aca="true" t="shared" si="3" ref="R23:R82">IF(ISERROR(Q23*I23),0,Q23*I23)</f>
        <v>11</v>
      </c>
      <c r="S23" s="215">
        <f aca="true" t="shared" si="4" ref="S23:S82">IF(ISERROR(Q23*I23*J23),0,Q23*I23*J23)</f>
        <v>11</v>
      </c>
      <c r="T23" s="215">
        <f aca="true" t="shared" si="5" ref="T23:T82">IF(ISERROR(Q23*J23),0,Q23*J23)</f>
        <v>1</v>
      </c>
      <c r="U23" s="216">
        <f aca="true" t="shared" si="6" ref="U23:U82">IF(AND(A23="",F23=0),"",IF(F23=0,"Il manque le(s) % de rec. !",""))</f>
      </c>
      <c r="V23" s="217" t="s">
        <v>51</v>
      </c>
      <c r="X23" s="218" t="str">
        <f>IF(A23="new.cod","NEW.COD",IF(AND((Y23=""),ISTEXT(A23)),A23,IF(Y23="","",INDEX('[1]liste reference'!$A$7:$A$906,Y23))))</f>
        <v>OSC.SPX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57</v>
      </c>
      <c r="Z23" s="219"/>
      <c r="AA23" s="220"/>
      <c r="BB23" s="7">
        <f aca="true" t="shared" si="7" ref="BB23:BB82">IF(A23="","",1)</f>
        <v>1</v>
      </c>
    </row>
    <row r="24" spans="1:54" ht="12.75">
      <c r="A24" s="221" t="s">
        <v>73</v>
      </c>
      <c r="B24" s="222">
        <v>0.01</v>
      </c>
      <c r="C24" s="223"/>
      <c r="D24" s="224" t="str">
        <f>IF(ISERROR(VLOOKUP($A24,'[1]liste reference'!$A$7:$D$906,2,0)),IF(ISERROR(VLOOKUP($A24,'[1]liste reference'!$B$7:$D$906,1,0)),"",VLOOKUP($A24,'[1]liste reference'!$B$7:$D$906,1,0)),VLOOKUP($A24,'[1]liste reference'!$A$7:$D$906,2,0))</f>
        <v>Cladophora sp. </v>
      </c>
      <c r="E24" s="224" t="e">
        <f>IF(D24="",,VLOOKUP(D24,D$22:D23,1,0))</f>
        <v>#N/A</v>
      </c>
      <c r="F24" s="225">
        <f t="shared" si="1"/>
        <v>0.01</v>
      </c>
      <c r="G24" s="226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208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27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6</v>
      </c>
      <c r="J24" s="210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1</v>
      </c>
      <c r="K24" s="228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Cladophora sp. </v>
      </c>
      <c r="L24" s="229"/>
      <c r="M24" s="229"/>
      <c r="N24" s="229"/>
      <c r="O24" s="213"/>
      <c r="P24" s="214">
        <f t="shared" si="2"/>
        <v>0.01</v>
      </c>
      <c r="Q24" s="215">
        <f aca="true" t="shared" si="8" ref="Q24:Q82">IF(OR(ISTEXT(H24),P24=0),"",IF(P24&lt;0.1,1,IF(P24&lt;1,2,IF(P24&lt;10,3,IF(P24&lt;50,4,IF(P24&gt;=50,5,""))))))</f>
        <v>1</v>
      </c>
      <c r="R24" s="215">
        <f t="shared" si="3"/>
        <v>6</v>
      </c>
      <c r="S24" s="215">
        <f t="shared" si="4"/>
        <v>6</v>
      </c>
      <c r="T24" s="230">
        <f t="shared" si="5"/>
        <v>1</v>
      </c>
      <c r="U24" s="216">
        <f t="shared" si="6"/>
      </c>
      <c r="V24" s="217" t="s">
        <v>51</v>
      </c>
      <c r="X24" s="218" t="str">
        <f>IF(A24="new.cod","NEW.COD",IF(AND((Y24=""),ISTEXT(A24)),A24,IF(Y24="","",INDEX('[1]liste reference'!$A$7:$A$906,Y24))))</f>
        <v>CLA.SPX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24</v>
      </c>
      <c r="Z24" s="219"/>
      <c r="AA24" s="220"/>
      <c r="BB24" s="7">
        <f t="shared" si="7"/>
        <v>1</v>
      </c>
    </row>
    <row r="25" spans="1:54" ht="12.75">
      <c r="A25" s="221" t="s">
        <v>74</v>
      </c>
      <c r="B25" s="222">
        <v>0.01</v>
      </c>
      <c r="C25" s="223"/>
      <c r="D25" s="224" t="str">
        <f>IF(ISERROR(VLOOKUP($A25,'[1]liste reference'!$A$7:$D$906,2,0)),IF(ISERROR(VLOOKUP($A25,'[1]liste reference'!$B$7:$D$906,1,0)),"",VLOOKUP($A25,'[1]liste reference'!$B$7:$D$906,1,0)),VLOOKUP($A25,'[1]liste reference'!$A$7:$D$906,2,0))</f>
        <v>Diatoma sp.</v>
      </c>
      <c r="E25" s="224" t="e">
        <f>IF(D25="",,VLOOKUP(D25,D$22:D24,1,0))</f>
        <v>#N/A</v>
      </c>
      <c r="F25" s="225">
        <f t="shared" si="1"/>
        <v>0.01</v>
      </c>
      <c r="G25" s="226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208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27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12</v>
      </c>
      <c r="J25" s="210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2</v>
      </c>
      <c r="K25" s="228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Diatoma sp.</v>
      </c>
      <c r="L25" s="229"/>
      <c r="M25" s="229"/>
      <c r="N25" s="229"/>
      <c r="O25" s="213"/>
      <c r="P25" s="214">
        <f t="shared" si="2"/>
        <v>0.01</v>
      </c>
      <c r="Q25" s="215">
        <f t="shared" si="8"/>
        <v>1</v>
      </c>
      <c r="R25" s="215">
        <f t="shared" si="3"/>
        <v>12</v>
      </c>
      <c r="S25" s="215">
        <f t="shared" si="4"/>
        <v>24</v>
      </c>
      <c r="T25" s="230">
        <f t="shared" si="5"/>
        <v>2</v>
      </c>
      <c r="U25" s="216">
        <f t="shared" si="6"/>
      </c>
      <c r="V25" s="217" t="s">
        <v>51</v>
      </c>
      <c r="X25" s="218" t="str">
        <f>IF(A25="new.cod","NEW.COD",IF(AND((Y25=""),ISTEXT(A25)),A25,IF(Y25="","",INDEX('[1]liste reference'!$A$7:$A$906,Y25))))</f>
        <v>DIA.SPX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27</v>
      </c>
      <c r="Z25" s="219"/>
      <c r="AA25" s="220"/>
      <c r="BB25" s="7">
        <f t="shared" si="7"/>
        <v>1</v>
      </c>
    </row>
    <row r="26" spans="1:54" ht="12.75">
      <c r="A26" s="221" t="s">
        <v>75</v>
      </c>
      <c r="B26" s="222">
        <v>0.01</v>
      </c>
      <c r="C26" s="223"/>
      <c r="D26" s="224" t="str">
        <f>IF(ISERROR(VLOOKUP($A26,'[1]liste reference'!$A$7:$D$906,2,0)),IF(ISERROR(VLOOKUP($A26,'[1]liste reference'!$B$7:$D$906,1,0)),"",VLOOKUP($A26,'[1]liste reference'!$B$7:$D$906,1,0)),VLOOKUP($A26,'[1]liste reference'!$A$7:$D$906,2,0))</f>
        <v>Cinclidotus riparius</v>
      </c>
      <c r="E26" s="224" t="e">
        <f>IF(D26="",,VLOOKUP(D26,D$22:D25,1,0))</f>
        <v>#N/A</v>
      </c>
      <c r="F26" s="225">
        <f t="shared" si="1"/>
        <v>0.01</v>
      </c>
      <c r="G26" s="226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BRm</v>
      </c>
      <c r="H26" s="208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5</v>
      </c>
      <c r="I26" s="227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13</v>
      </c>
      <c r="J26" s="210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2</v>
      </c>
      <c r="K26" s="228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Cinclidotus riparius</v>
      </c>
      <c r="L26" s="229"/>
      <c r="M26" s="229"/>
      <c r="N26" s="229"/>
      <c r="O26" s="213"/>
      <c r="P26" s="214">
        <f>IF(ISTEXT(H26),"",(B26*$B$7/100)+(C26*$C$7/100))</f>
        <v>0.01</v>
      </c>
      <c r="Q26" s="215">
        <f t="shared" si="8"/>
        <v>1</v>
      </c>
      <c r="R26" s="215">
        <f>IF(ISERROR(Q26*I26),0,Q26*I26)</f>
        <v>13</v>
      </c>
      <c r="S26" s="215">
        <f>IF(ISERROR(Q26*I26*J26),0,Q26*I26*J26)</f>
        <v>26</v>
      </c>
      <c r="T26" s="230">
        <f>IF(ISERROR(Q26*J26),0,Q26*J26)</f>
        <v>2</v>
      </c>
      <c r="U26" s="216">
        <f t="shared" si="6"/>
      </c>
      <c r="V26" s="217" t="s">
        <v>51</v>
      </c>
      <c r="X26" s="218" t="str">
        <f>IF(A26="new.cod","NEW.COD",IF(AND((Y26=""),ISTEXT(A26)),A26,IF(Y26="","",INDEX('[1]liste reference'!$A$7:$A$906,Y26))))</f>
        <v>CIN.RIP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175</v>
      </c>
      <c r="Z26" s="219"/>
      <c r="AA26" s="220"/>
      <c r="BB26" s="7">
        <f t="shared" si="7"/>
        <v>1</v>
      </c>
    </row>
    <row r="27" spans="1:54" ht="12.75">
      <c r="A27" s="221" t="s">
        <v>14</v>
      </c>
      <c r="B27" s="222">
        <v>0.01</v>
      </c>
      <c r="C27" s="223"/>
      <c r="D27" s="224" t="str">
        <f>IF(ISERROR(VLOOKUP($A27,'[1]liste reference'!$A$7:$D$906,2,0)),IF(ISERROR(VLOOKUP($A27,'[1]liste reference'!$B$7:$D$906,1,0)),"",VLOOKUP($A27,'[1]liste reference'!$B$7:$D$906,1,0)),VLOOKUP($A27,'[1]liste reference'!$A$7:$D$906,2,0))</f>
        <v>Cratoneuron commutatum</v>
      </c>
      <c r="E27" s="224" t="e">
        <f>IF(D27="",,VLOOKUP(D27,D$22:D26,1,0))</f>
        <v>#N/A</v>
      </c>
      <c r="F27" s="225">
        <f t="shared" si="1"/>
        <v>0.01</v>
      </c>
      <c r="G27" s="226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BRm</v>
      </c>
      <c r="H27" s="208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5</v>
      </c>
      <c r="I27" s="227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15</v>
      </c>
      <c r="J27" s="210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2</v>
      </c>
      <c r="K27" s="228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Cratoneuron commutatum</v>
      </c>
      <c r="L27" s="229"/>
      <c r="M27" s="229"/>
      <c r="N27" s="229"/>
      <c r="O27" s="213"/>
      <c r="P27" s="214">
        <f t="shared" si="2"/>
        <v>0.01</v>
      </c>
      <c r="Q27" s="215">
        <f t="shared" si="8"/>
        <v>1</v>
      </c>
      <c r="R27" s="215">
        <f t="shared" si="3"/>
        <v>15</v>
      </c>
      <c r="S27" s="215">
        <f t="shared" si="4"/>
        <v>30</v>
      </c>
      <c r="T27" s="230">
        <f t="shared" si="5"/>
        <v>2</v>
      </c>
      <c r="U27" s="216">
        <f t="shared" si="6"/>
      </c>
      <c r="V27" s="217" t="s">
        <v>51</v>
      </c>
      <c r="X27" s="218" t="str">
        <f>IF(A27="new.cod","NEW.COD",IF(AND((Y27=""),ISTEXT(A27)),A27,IF(Y27="","",INDEX('[1]liste reference'!$A$7:$A$906,Y27))))</f>
        <v>CRA.COM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178</v>
      </c>
      <c r="Z27" s="219"/>
      <c r="AA27" s="220"/>
      <c r="BB27" s="7">
        <f t="shared" si="7"/>
        <v>1</v>
      </c>
    </row>
    <row r="28" spans="1:54" ht="12.75">
      <c r="A28" s="221" t="s">
        <v>76</v>
      </c>
      <c r="B28" s="222">
        <v>0.01</v>
      </c>
      <c r="C28" s="223"/>
      <c r="D28" s="224" t="str">
        <f>IF(ISERROR(VLOOKUP($A28,'[1]liste reference'!$A$7:$D$906,2,0)),IF(ISERROR(VLOOKUP($A28,'[1]liste reference'!$B$7:$D$906,1,0)),"",VLOOKUP($A28,'[1]liste reference'!$B$7:$D$906,1,0)),VLOOKUP($A28,'[1]liste reference'!$A$7:$D$906,2,0))</f>
        <v>Rhynchostegium riparioides (Platyhypnidium rusciforme)</v>
      </c>
      <c r="E28" s="224" t="e">
        <f>IF(D28="",,VLOOKUP(D28,D$22:D27,1,0))</f>
        <v>#N/A</v>
      </c>
      <c r="F28" s="225">
        <f t="shared" si="1"/>
        <v>0.01</v>
      </c>
      <c r="G28" s="226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BRm</v>
      </c>
      <c r="H28" s="208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5</v>
      </c>
      <c r="I28" s="227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12</v>
      </c>
      <c r="J28" s="210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1</v>
      </c>
      <c r="K28" s="228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Rhynchostegium riparioides (Platyhypnidium rusciforme)</v>
      </c>
      <c r="L28" s="229"/>
      <c r="M28" s="229"/>
      <c r="N28" s="229"/>
      <c r="O28" s="213"/>
      <c r="P28" s="214">
        <f t="shared" si="2"/>
        <v>0.01</v>
      </c>
      <c r="Q28" s="215">
        <f t="shared" si="8"/>
        <v>1</v>
      </c>
      <c r="R28" s="215">
        <f t="shared" si="3"/>
        <v>12</v>
      </c>
      <c r="S28" s="215">
        <f t="shared" si="4"/>
        <v>12</v>
      </c>
      <c r="T28" s="230">
        <f t="shared" si="5"/>
        <v>1</v>
      </c>
      <c r="U28" s="216">
        <f t="shared" si="6"/>
      </c>
      <c r="V28" s="217" t="s">
        <v>51</v>
      </c>
      <c r="X28" s="218" t="str">
        <f>IF(A28="new.cod","NEW.COD",IF(AND((Y28=""),ISTEXT(A28)),A28,IF(Y28="","",INDEX('[1]liste reference'!$A$7:$A$906,Y28))))</f>
        <v>RHY.RIP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253</v>
      </c>
      <c r="Z28" s="219"/>
      <c r="AA28" s="220"/>
      <c r="BB28" s="7">
        <f t="shared" si="7"/>
        <v>1</v>
      </c>
    </row>
    <row r="29" spans="1:54" ht="12.75">
      <c r="A29" s="221" t="s">
        <v>77</v>
      </c>
      <c r="B29" s="222">
        <v>0.01</v>
      </c>
      <c r="C29" s="223"/>
      <c r="D29" s="224" t="str">
        <f>IF(ISERROR(VLOOKUP($A29,'[1]liste reference'!$A$7:$D$906,2,0)),IF(ISERROR(VLOOKUP($A29,'[1]liste reference'!$B$7:$D$906,1,0)),"",VLOOKUP($A29,'[1]liste reference'!$B$7:$D$906,1,0)),VLOOKUP($A29,'[1]liste reference'!$A$7:$D$906,2,0))</f>
        <v>Equisetum palustre</v>
      </c>
      <c r="E29" s="224" t="e">
        <f>IF(D29="",,VLOOKUP(D29,D$22:D28,1,0))</f>
        <v>#N/A</v>
      </c>
      <c r="F29" s="225">
        <f t="shared" si="1"/>
        <v>0.01</v>
      </c>
      <c r="G29" s="226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PTE</v>
      </c>
      <c r="H29" s="208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6</v>
      </c>
      <c r="I29" s="227">
        <f>IF(ISNUMBER(H29),IF(ISERROR(VLOOKUP($A29,'[1]liste reference'!$A$7:$P$906,3,0)),IF(ISERROR(VLOOKUP($A29,'[1]liste reference'!$B$7:$P$906,2,0)),"",VLOOKUP($A29,'[1]liste reference'!$B$7:$P$906,2,0)),VLOOKUP($A29,'[1]liste reference'!$A$7:$P$906,3,0)),"")</f>
        <v>10</v>
      </c>
      <c r="J29" s="210">
        <f>IF(ISNUMBER(H29),IF(ISERROR(VLOOKUP($A29,'[1]liste reference'!$A$7:$P$906,4,0)),IF(ISERROR(VLOOKUP($A29,'[1]liste reference'!$B$7:$P$906,3,0)),"",VLOOKUP($A29,'[1]liste reference'!$B$7:$P$906,3,0)),VLOOKUP($A29,'[1]liste reference'!$A$7:$P$906,4,0)),"")</f>
        <v>1</v>
      </c>
      <c r="K29" s="228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Equisetum palustre</v>
      </c>
      <c r="L29" s="229"/>
      <c r="M29" s="229"/>
      <c r="N29" s="229"/>
      <c r="O29" s="213"/>
      <c r="P29" s="214">
        <f>IF(ISTEXT(H29),"",(B29*$B$7/100)+(C29*$C$7/100))</f>
        <v>0.01</v>
      </c>
      <c r="Q29" s="215">
        <f t="shared" si="8"/>
        <v>1</v>
      </c>
      <c r="R29" s="215">
        <f>IF(ISERROR(Q29*I29),0,Q29*I29)</f>
        <v>10</v>
      </c>
      <c r="S29" s="215">
        <f>IF(ISERROR(Q29*I29*J29),0,Q29*I29*J29)</f>
        <v>10</v>
      </c>
      <c r="T29" s="230">
        <f>IF(ISERROR(Q29*J29),0,Q29*J29)</f>
        <v>1</v>
      </c>
      <c r="U29" s="216">
        <f t="shared" si="6"/>
      </c>
      <c r="V29" s="217" t="s">
        <v>51</v>
      </c>
      <c r="X29" s="218" t="str">
        <f>IF(A29="new.cod","NEW.COD",IF(AND((Y29=""),ISTEXT(A29)),A29,IF(Y29="","",INDEX('[1]liste reference'!$A$7:$A$906,Y29))))</f>
        <v>EQU.PAL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282</v>
      </c>
      <c r="Z29" s="219"/>
      <c r="AA29" s="220"/>
      <c r="BB29" s="7">
        <f t="shared" si="7"/>
        <v>1</v>
      </c>
    </row>
    <row r="30" spans="1:54" ht="12.75">
      <c r="A30" s="221" t="s">
        <v>78</v>
      </c>
      <c r="B30" s="222">
        <v>0.01</v>
      </c>
      <c r="C30" s="223"/>
      <c r="D30" s="224" t="str">
        <f>IF(ISERROR(VLOOKUP($A30,'[1]liste reference'!$A$7:$D$906,2,0)),IF(ISERROR(VLOOKUP($A30,'[1]liste reference'!$B$7:$D$906,1,0)),"",VLOOKUP($A30,'[1]liste reference'!$B$7:$D$906,1,0)),VLOOKUP($A30,'[1]liste reference'!$A$7:$D$906,2,0))</f>
        <v>Equisetum fluviatile</v>
      </c>
      <c r="E30" s="224" t="e">
        <f>IF(D30="",,VLOOKUP(D30,D$22:D29,1,0))</f>
        <v>#N/A</v>
      </c>
      <c r="F30" s="225">
        <f t="shared" si="1"/>
        <v>0.01</v>
      </c>
      <c r="G30" s="226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PTE</v>
      </c>
      <c r="H30" s="208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6</v>
      </c>
      <c r="I30" s="227">
        <f>IF(ISNUMBER(H30),IF(ISERROR(VLOOKUP($A30,'[1]liste reference'!$A$7:$P$906,3,0)),IF(ISERROR(VLOOKUP($A30,'[1]liste reference'!$B$7:$P$906,2,0)),"",VLOOKUP($A30,'[1]liste reference'!$B$7:$P$906,2,0)),VLOOKUP($A30,'[1]liste reference'!$A$7:$P$906,3,0)),"")</f>
        <v>12</v>
      </c>
      <c r="J30" s="210">
        <f>IF(ISNUMBER(H30),IF(ISERROR(VLOOKUP($A30,'[1]liste reference'!$A$7:$P$906,4,0)),IF(ISERROR(VLOOKUP($A30,'[1]liste reference'!$B$7:$P$906,3,0)),"",VLOOKUP($A30,'[1]liste reference'!$B$7:$P$906,3,0)),VLOOKUP($A30,'[1]liste reference'!$A$7:$P$906,4,0)),"")</f>
        <v>2</v>
      </c>
      <c r="K30" s="228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Equisetum fluviatile</v>
      </c>
      <c r="L30" s="229"/>
      <c r="M30" s="229"/>
      <c r="N30" s="229"/>
      <c r="O30" s="213"/>
      <c r="P30" s="214">
        <f t="shared" si="2"/>
        <v>0.01</v>
      </c>
      <c r="Q30" s="215">
        <f t="shared" si="8"/>
        <v>1</v>
      </c>
      <c r="R30" s="215">
        <f t="shared" si="3"/>
        <v>12</v>
      </c>
      <c r="S30" s="215">
        <f t="shared" si="4"/>
        <v>24</v>
      </c>
      <c r="T30" s="230">
        <f t="shared" si="5"/>
        <v>2</v>
      </c>
      <c r="U30" s="216">
        <f t="shared" si="6"/>
      </c>
      <c r="V30" s="217" t="s">
        <v>51</v>
      </c>
      <c r="X30" s="218" t="str">
        <f>IF(A30="new.cod","NEW.COD",IF(AND((Y30=""),ISTEXT(A30)),A30,IF(Y30="","",INDEX('[1]liste reference'!$A$7:$A$906,Y30))))</f>
        <v>EQU.FLU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280</v>
      </c>
      <c r="Z30" s="219"/>
      <c r="AA30" s="220"/>
      <c r="BB30" s="7">
        <f t="shared" si="7"/>
        <v>1</v>
      </c>
    </row>
    <row r="31" spans="1:54" ht="12.75">
      <c r="A31" s="221" t="s">
        <v>51</v>
      </c>
      <c r="B31" s="222"/>
      <c r="C31" s="223"/>
      <c r="D31" s="224">
        <f>IF(ISERROR(VLOOKUP($A31,'[1]liste reference'!$A$7:$D$906,2,0)),IF(ISERROR(VLOOKUP($A31,'[1]liste reference'!$B$7:$D$906,1,0)),"",VLOOKUP($A31,'[1]liste reference'!$B$7:$D$906,1,0)),VLOOKUP($A31,'[1]liste reference'!$A$7:$D$906,2,0))</f>
      </c>
      <c r="E31" s="224">
        <f>IF(D31="",,VLOOKUP(D31,D$21:D30,1,0))</f>
        <v>0</v>
      </c>
      <c r="F31" s="225">
        <f t="shared" si="1"/>
        <v>0</v>
      </c>
      <c r="G31" s="226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</c>
      <c r="H31" s="208" t="str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x</v>
      </c>
      <c r="I31" s="227">
        <f>IF(ISNUMBER(H31),IF(ISERROR(VLOOKUP($A31,'[1]liste reference'!$A$7:$P$906,3,0)),IF(ISERROR(VLOOKUP($A31,'[1]liste reference'!$B$7:$P$906,2,0)),"",VLOOKUP($A31,'[1]liste reference'!$B$7:$P$906,2,0)),VLOOKUP($A31,'[1]liste reference'!$A$7:$P$906,3,0)),"")</f>
      </c>
      <c r="J31" s="210">
        <f>IF(ISNUMBER(H31),IF(ISERROR(VLOOKUP($A31,'[1]liste reference'!$A$7:$P$906,4,0)),IF(ISERROR(VLOOKUP($A31,'[1]liste reference'!$B$7:$P$906,3,0)),"",VLOOKUP($A31,'[1]liste reference'!$B$7:$P$906,3,0)),VLOOKUP($A31,'[1]liste reference'!$A$7:$P$906,4,0)),"")</f>
      </c>
      <c r="K31" s="228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</c>
      <c r="L31" s="229"/>
      <c r="M31" s="229"/>
      <c r="N31" s="229"/>
      <c r="O31" s="213"/>
      <c r="P31" s="214">
        <f t="shared" si="2"/>
      </c>
      <c r="Q31" s="215">
        <f t="shared" si="8"/>
      </c>
      <c r="R31" s="215">
        <f t="shared" si="3"/>
        <v>0</v>
      </c>
      <c r="S31" s="215">
        <f t="shared" si="4"/>
        <v>0</v>
      </c>
      <c r="T31" s="230">
        <f t="shared" si="5"/>
        <v>0</v>
      </c>
      <c r="U31" s="216">
        <f t="shared" si="6"/>
      </c>
      <c r="V31" s="217" t="s">
        <v>51</v>
      </c>
      <c r="W31" s="231"/>
      <c r="X31" s="218">
        <f>IF(A31="new.cod","NEW.COD",IF(AND((Y31=""),ISTEXT(A31)),A31,IF(Y31="","",INDEX('[1]liste reference'!$A$7:$A$906,Y31))))</f>
      </c>
      <c r="Y31" s="7">
        <f>IF(ISERROR(MATCH(A31,'[1]liste reference'!$A$7:$A$906,0)),IF(ISERROR(MATCH(A31,'[1]liste reference'!$B$7:$B$906,0)),"",(MATCH(A31,'[1]liste reference'!$B$7:$B$906,0))),(MATCH(A31,'[1]liste reference'!$A$7:$A$906,0)))</f>
      </c>
      <c r="Z31" s="219"/>
      <c r="AA31" s="220"/>
      <c r="BB31" s="7">
        <f t="shared" si="7"/>
      </c>
    </row>
    <row r="32" spans="1:54" ht="12.75">
      <c r="A32" s="221" t="s">
        <v>51</v>
      </c>
      <c r="B32" s="222"/>
      <c r="C32" s="223"/>
      <c r="D32" s="224">
        <f>IF(ISERROR(VLOOKUP($A32,'[1]liste reference'!$A$7:$D$906,2,0)),IF(ISERROR(VLOOKUP($A32,'[1]liste reference'!$B$7:$D$906,1,0)),"",VLOOKUP($A32,'[1]liste reference'!$B$7:$D$906,1,0)),VLOOKUP($A32,'[1]liste reference'!$A$7:$D$906,2,0))</f>
      </c>
      <c r="E32" s="224">
        <f>IF(D32="",,VLOOKUP(D32,D$22:D31,1,0))</f>
        <v>0</v>
      </c>
      <c r="F32" s="225">
        <f t="shared" si="1"/>
        <v>0</v>
      </c>
      <c r="G32" s="226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</c>
      <c r="H32" s="208" t="str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x</v>
      </c>
      <c r="I32" s="227">
        <f>IF(ISNUMBER(H32),IF(ISERROR(VLOOKUP($A32,'[1]liste reference'!$A$7:$P$906,3,0)),IF(ISERROR(VLOOKUP($A32,'[1]liste reference'!$B$7:$P$906,2,0)),"",VLOOKUP($A32,'[1]liste reference'!$B$7:$P$906,2,0)),VLOOKUP($A32,'[1]liste reference'!$A$7:$P$906,3,0)),"")</f>
      </c>
      <c r="J32" s="210">
        <f>IF(ISNUMBER(H32),IF(ISERROR(VLOOKUP($A32,'[1]liste reference'!$A$7:$P$906,4,0)),IF(ISERROR(VLOOKUP($A32,'[1]liste reference'!$B$7:$P$906,3,0)),"",VLOOKUP($A32,'[1]liste reference'!$B$7:$P$906,3,0)),VLOOKUP($A32,'[1]liste reference'!$A$7:$P$906,4,0)),"")</f>
      </c>
      <c r="K32" s="228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</c>
      <c r="L32" s="229"/>
      <c r="M32" s="229"/>
      <c r="N32" s="229"/>
      <c r="O32" s="213"/>
      <c r="P32" s="214">
        <f t="shared" si="2"/>
      </c>
      <c r="Q32" s="215">
        <f t="shared" si="8"/>
      </c>
      <c r="R32" s="215">
        <f t="shared" si="3"/>
        <v>0</v>
      </c>
      <c r="S32" s="215">
        <f t="shared" si="4"/>
        <v>0</v>
      </c>
      <c r="T32" s="230">
        <f t="shared" si="5"/>
        <v>0</v>
      </c>
      <c r="U32" s="216">
        <f t="shared" si="6"/>
      </c>
      <c r="V32" s="217" t="s">
        <v>51</v>
      </c>
      <c r="X32" s="218">
        <f>IF(A32="new.cod","NEW.COD",IF(AND((Y32=""),ISTEXT(A32)),A32,IF(Y32="","",INDEX('[1]liste reference'!$A$7:$A$906,Y32))))</f>
      </c>
      <c r="Y32" s="7">
        <f>IF(ISERROR(MATCH(A32,'[1]liste reference'!$A$7:$A$906,0)),IF(ISERROR(MATCH(A32,'[1]liste reference'!$B$7:$B$906,0)),"",(MATCH(A32,'[1]liste reference'!$B$7:$B$906,0))),(MATCH(A32,'[1]liste reference'!$A$7:$A$906,0)))</f>
      </c>
      <c r="Z32" s="219"/>
      <c r="AA32" s="220"/>
      <c r="BB32" s="7">
        <f t="shared" si="7"/>
      </c>
    </row>
    <row r="33" spans="1:54" ht="12.75">
      <c r="A33" s="221" t="s">
        <v>51</v>
      </c>
      <c r="B33" s="222"/>
      <c r="C33" s="223"/>
      <c r="D33" s="224">
        <f>IF(ISERROR(VLOOKUP($A33,'[1]liste reference'!$A$7:$D$906,2,0)),IF(ISERROR(VLOOKUP($A33,'[1]liste reference'!$B$7:$D$906,1,0)),"",VLOOKUP($A33,'[1]liste reference'!$B$7:$D$906,1,0)),VLOOKUP($A33,'[1]liste reference'!$A$7:$D$906,2,0))</f>
      </c>
      <c r="E33" s="224">
        <f>IF(D33="",,VLOOKUP(D33,D$22:D32,1,0))</f>
        <v>0</v>
      </c>
      <c r="F33" s="225">
        <f t="shared" si="1"/>
        <v>0</v>
      </c>
      <c r="G33" s="226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</c>
      <c r="H33" s="208" t="str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x</v>
      </c>
      <c r="I33" s="227">
        <f>IF(ISNUMBER(H33),IF(ISERROR(VLOOKUP($A33,'[1]liste reference'!$A$7:$P$906,3,0)),IF(ISERROR(VLOOKUP($A33,'[1]liste reference'!$B$7:$P$906,2,0)),"",VLOOKUP($A33,'[1]liste reference'!$B$7:$P$906,2,0)),VLOOKUP($A33,'[1]liste reference'!$A$7:$P$906,3,0)),"")</f>
      </c>
      <c r="J33" s="210">
        <f>IF(ISNUMBER(H33),IF(ISERROR(VLOOKUP($A33,'[1]liste reference'!$A$7:$P$906,4,0)),IF(ISERROR(VLOOKUP($A33,'[1]liste reference'!$B$7:$P$906,3,0)),"",VLOOKUP($A33,'[1]liste reference'!$B$7:$P$906,3,0)),VLOOKUP($A33,'[1]liste reference'!$A$7:$P$906,4,0)),"")</f>
      </c>
      <c r="K33" s="228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</c>
      <c r="L33" s="232"/>
      <c r="M33" s="232"/>
      <c r="N33" s="232"/>
      <c r="O33" s="233"/>
      <c r="P33" s="214">
        <f t="shared" si="2"/>
      </c>
      <c r="Q33" s="215">
        <f t="shared" si="8"/>
      </c>
      <c r="R33" s="215">
        <f t="shared" si="3"/>
        <v>0</v>
      </c>
      <c r="S33" s="215">
        <f t="shared" si="4"/>
        <v>0</v>
      </c>
      <c r="T33" s="230">
        <f t="shared" si="5"/>
        <v>0</v>
      </c>
      <c r="U33" s="216">
        <f t="shared" si="6"/>
      </c>
      <c r="V33" s="217" t="s">
        <v>51</v>
      </c>
      <c r="X33" s="218">
        <f>IF(A33="new.cod","NEW.COD",IF(AND((Y33=""),ISTEXT(A33)),A33,IF(Y33="","",INDEX('[1]liste reference'!$A$7:$A$906,Y33))))</f>
      </c>
      <c r="Y33" s="7">
        <f>IF(ISERROR(MATCH(A33,'[1]liste reference'!$A$7:$A$906,0)),IF(ISERROR(MATCH(A33,'[1]liste reference'!$B$7:$B$906,0)),"",(MATCH(A33,'[1]liste reference'!$B$7:$B$906,0))),(MATCH(A33,'[1]liste reference'!$A$7:$A$906,0)))</f>
      </c>
      <c r="Z33" s="219"/>
      <c r="AA33" s="220"/>
      <c r="BB33" s="7">
        <f t="shared" si="7"/>
      </c>
    </row>
    <row r="34" spans="1:54" ht="12.75">
      <c r="A34" s="221" t="s">
        <v>51</v>
      </c>
      <c r="B34" s="222"/>
      <c r="C34" s="223"/>
      <c r="D34" s="224">
        <f>IF(ISERROR(VLOOKUP($A34,'[1]liste reference'!$A$7:$D$906,2,0)),IF(ISERROR(VLOOKUP($A34,'[1]liste reference'!$B$7:$D$906,1,0)),"",VLOOKUP($A34,'[1]liste reference'!$B$7:$D$906,1,0)),VLOOKUP($A34,'[1]liste reference'!$A$7:$D$906,2,0))</f>
      </c>
      <c r="E34" s="224">
        <f>IF(D34="",,VLOOKUP(D34,D$22:D33,1,0))</f>
        <v>0</v>
      </c>
      <c r="F34" s="234">
        <f t="shared" si="1"/>
        <v>0</v>
      </c>
      <c r="G34" s="226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</c>
      <c r="H34" s="208" t="str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x</v>
      </c>
      <c r="I34" s="227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210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28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</c>
      <c r="L34" s="232"/>
      <c r="M34" s="232"/>
      <c r="N34" s="232"/>
      <c r="O34" s="233"/>
      <c r="P34" s="214">
        <f t="shared" si="2"/>
      </c>
      <c r="Q34" s="215">
        <f t="shared" si="8"/>
      </c>
      <c r="R34" s="215">
        <f t="shared" si="3"/>
        <v>0</v>
      </c>
      <c r="S34" s="215">
        <f t="shared" si="4"/>
        <v>0</v>
      </c>
      <c r="T34" s="230">
        <f t="shared" si="5"/>
        <v>0</v>
      </c>
      <c r="U34" s="216">
        <f t="shared" si="6"/>
      </c>
      <c r="V34" s="217" t="s">
        <v>51</v>
      </c>
      <c r="X34" s="218">
        <f>IF(A34="new.cod","NEW.COD",IF(AND((Y34=""),ISTEXT(A34)),A34,IF(Y34="","",INDEX('[1]liste reference'!$A$7:$A$906,Y34))))</f>
      </c>
      <c r="Y34" s="7">
        <f>IF(ISERROR(MATCH(A34,'[1]liste reference'!$A$7:$A$906,0)),IF(ISERROR(MATCH(A34,'[1]liste reference'!$B$7:$B$906,0)),"",(MATCH(A34,'[1]liste reference'!$B$7:$B$906,0))),(MATCH(A34,'[1]liste reference'!$A$7:$A$906,0)))</f>
      </c>
      <c r="Z34" s="219"/>
      <c r="AA34" s="220"/>
      <c r="BB34" s="7">
        <f t="shared" si="7"/>
      </c>
    </row>
    <row r="35" spans="1:54" ht="12.75">
      <c r="A35" s="221" t="s">
        <v>51</v>
      </c>
      <c r="B35" s="222"/>
      <c r="C35" s="223"/>
      <c r="D35" s="224">
        <f>IF(ISERROR(VLOOKUP($A35,'[1]liste reference'!$A$7:$D$906,2,0)),IF(ISERROR(VLOOKUP($A35,'[1]liste reference'!$B$7:$D$906,1,0)),"",VLOOKUP($A35,'[1]liste reference'!$B$7:$D$906,1,0)),VLOOKUP($A35,'[1]liste reference'!$A$7:$D$906,2,0))</f>
      </c>
      <c r="E35" s="224">
        <f>IF(D35="",,VLOOKUP(D35,D$22:D34,1,0))</f>
        <v>0</v>
      </c>
      <c r="F35" s="234">
        <f t="shared" si="1"/>
        <v>0</v>
      </c>
      <c r="G35" s="226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</c>
      <c r="H35" s="208" t="str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x</v>
      </c>
      <c r="I35" s="227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210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28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</c>
      <c r="L35" s="229"/>
      <c r="M35" s="229"/>
      <c r="N35" s="229"/>
      <c r="O35" s="213"/>
      <c r="P35" s="214">
        <f t="shared" si="2"/>
      </c>
      <c r="Q35" s="215">
        <f t="shared" si="8"/>
      </c>
      <c r="R35" s="215">
        <f t="shared" si="3"/>
        <v>0</v>
      </c>
      <c r="S35" s="215">
        <f t="shared" si="4"/>
        <v>0</v>
      </c>
      <c r="T35" s="230">
        <f t="shared" si="5"/>
        <v>0</v>
      </c>
      <c r="U35" s="216">
        <f t="shared" si="6"/>
      </c>
      <c r="V35" s="217" t="s">
        <v>51</v>
      </c>
      <c r="X35" s="218">
        <f>IF(A35="new.cod","NEW.COD",IF(AND((Y35=""),ISTEXT(A35)),A35,IF(Y35="","",INDEX('[1]liste reference'!$A$7:$A$906,Y35))))</f>
      </c>
      <c r="Y35" s="7">
        <f>IF(ISERROR(MATCH(A35,'[1]liste reference'!$A$7:$A$906,0)),IF(ISERROR(MATCH(A35,'[1]liste reference'!$B$7:$B$906,0)),"",(MATCH(A35,'[1]liste reference'!$B$7:$B$906,0))),(MATCH(A35,'[1]liste reference'!$A$7:$A$906,0)))</f>
      </c>
      <c r="Z35" s="219"/>
      <c r="AA35" s="220"/>
      <c r="BB35" s="7">
        <f t="shared" si="7"/>
      </c>
    </row>
    <row r="36" spans="1:54" ht="12.75">
      <c r="A36" s="221" t="s">
        <v>51</v>
      </c>
      <c r="B36" s="222"/>
      <c r="C36" s="223"/>
      <c r="D36" s="224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24">
        <f>IF(D36="",,VLOOKUP(D36,D$22:D35,1,0))</f>
        <v>0</v>
      </c>
      <c r="F36" s="234">
        <f t="shared" si="1"/>
        <v>0</v>
      </c>
      <c r="G36" s="226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208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27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210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28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29"/>
      <c r="M36" s="229"/>
      <c r="N36" s="229"/>
      <c r="O36" s="213"/>
      <c r="P36" s="214">
        <f t="shared" si="2"/>
      </c>
      <c r="Q36" s="215">
        <f t="shared" si="8"/>
      </c>
      <c r="R36" s="215">
        <f t="shared" si="3"/>
        <v>0</v>
      </c>
      <c r="S36" s="215">
        <f t="shared" si="4"/>
        <v>0</v>
      </c>
      <c r="T36" s="230">
        <f t="shared" si="5"/>
        <v>0</v>
      </c>
      <c r="U36" s="216">
        <f t="shared" si="6"/>
      </c>
      <c r="V36" s="217" t="s">
        <v>51</v>
      </c>
      <c r="W36" s="217"/>
      <c r="X36" s="218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19"/>
      <c r="AA36" s="220"/>
      <c r="BB36" s="7">
        <f t="shared" si="7"/>
      </c>
    </row>
    <row r="37" spans="1:54" ht="12.75">
      <c r="A37" s="221" t="s">
        <v>51</v>
      </c>
      <c r="B37" s="222"/>
      <c r="C37" s="223"/>
      <c r="D37" s="224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24">
        <f>IF(D37="",,VLOOKUP(D37,D$22:D36,1,0))</f>
        <v>0</v>
      </c>
      <c r="F37" s="234">
        <f t="shared" si="1"/>
        <v>0</v>
      </c>
      <c r="G37" s="226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208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27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210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28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29"/>
      <c r="M37" s="229"/>
      <c r="N37" s="229"/>
      <c r="O37" s="213"/>
      <c r="P37" s="214">
        <f t="shared" si="2"/>
      </c>
      <c r="Q37" s="215">
        <f t="shared" si="8"/>
      </c>
      <c r="R37" s="215">
        <f t="shared" si="3"/>
        <v>0</v>
      </c>
      <c r="S37" s="215">
        <f t="shared" si="4"/>
        <v>0</v>
      </c>
      <c r="T37" s="230">
        <f t="shared" si="5"/>
        <v>0</v>
      </c>
      <c r="U37" s="216">
        <f t="shared" si="6"/>
      </c>
      <c r="V37" s="217" t="s">
        <v>51</v>
      </c>
      <c r="X37" s="218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19"/>
      <c r="AA37" s="220"/>
      <c r="BB37" s="7">
        <f t="shared" si="7"/>
      </c>
    </row>
    <row r="38" spans="1:54" ht="12.75">
      <c r="A38" s="221" t="s">
        <v>51</v>
      </c>
      <c r="B38" s="222"/>
      <c r="C38" s="223"/>
      <c r="D38" s="224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24">
        <f>IF(D38="",,VLOOKUP(D38,D$22:D37,1,0))</f>
        <v>0</v>
      </c>
      <c r="F38" s="234">
        <f t="shared" si="1"/>
        <v>0</v>
      </c>
      <c r="G38" s="226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208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27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210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28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29"/>
      <c r="M38" s="229"/>
      <c r="N38" s="229"/>
      <c r="O38" s="213"/>
      <c r="P38" s="214">
        <f t="shared" si="2"/>
      </c>
      <c r="Q38" s="215">
        <f t="shared" si="8"/>
      </c>
      <c r="R38" s="215">
        <f t="shared" si="3"/>
        <v>0</v>
      </c>
      <c r="S38" s="215">
        <f t="shared" si="4"/>
        <v>0</v>
      </c>
      <c r="T38" s="230">
        <f t="shared" si="5"/>
        <v>0</v>
      </c>
      <c r="U38" s="216">
        <f t="shared" si="6"/>
      </c>
      <c r="V38" s="217" t="s">
        <v>51</v>
      </c>
      <c r="W38" s="217"/>
      <c r="X38" s="218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19"/>
      <c r="AA38" s="220"/>
      <c r="BB38" s="7">
        <f t="shared" si="7"/>
      </c>
    </row>
    <row r="39" spans="1:54" ht="12.75">
      <c r="A39" s="221" t="s">
        <v>51</v>
      </c>
      <c r="B39" s="222"/>
      <c r="C39" s="223"/>
      <c r="D39" s="224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24">
        <f>IF(D39="",,VLOOKUP(D39,D$22:D38,1,0))</f>
        <v>0</v>
      </c>
      <c r="F39" s="234">
        <f t="shared" si="1"/>
        <v>0</v>
      </c>
      <c r="G39" s="226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208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27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210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28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29"/>
      <c r="M39" s="229"/>
      <c r="N39" s="229"/>
      <c r="O39" s="213"/>
      <c r="P39" s="214">
        <f t="shared" si="2"/>
      </c>
      <c r="Q39" s="215">
        <f t="shared" si="8"/>
      </c>
      <c r="R39" s="215">
        <f t="shared" si="3"/>
        <v>0</v>
      </c>
      <c r="S39" s="215">
        <f t="shared" si="4"/>
        <v>0</v>
      </c>
      <c r="T39" s="230">
        <f t="shared" si="5"/>
        <v>0</v>
      </c>
      <c r="U39" s="216">
        <f t="shared" si="6"/>
      </c>
      <c r="V39" s="235" t="s">
        <v>51</v>
      </c>
      <c r="X39" s="218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19"/>
      <c r="AA39" s="220"/>
      <c r="BB39" s="7">
        <f t="shared" si="7"/>
      </c>
    </row>
    <row r="40" spans="1:54" ht="12.75">
      <c r="A40" s="221" t="s">
        <v>51</v>
      </c>
      <c r="B40" s="222"/>
      <c r="C40" s="223"/>
      <c r="D40" s="224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24">
        <f>IF(D40="",,VLOOKUP(D40,D$22:D39,1,0))</f>
        <v>0</v>
      </c>
      <c r="F40" s="234">
        <f t="shared" si="1"/>
        <v>0</v>
      </c>
      <c r="G40" s="226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208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27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210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28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29"/>
      <c r="M40" s="229"/>
      <c r="N40" s="229"/>
      <c r="O40" s="213"/>
      <c r="P40" s="214">
        <f t="shared" si="2"/>
      </c>
      <c r="Q40" s="215">
        <f t="shared" si="8"/>
      </c>
      <c r="R40" s="215">
        <f t="shared" si="3"/>
        <v>0</v>
      </c>
      <c r="S40" s="215">
        <f t="shared" si="4"/>
        <v>0</v>
      </c>
      <c r="T40" s="230">
        <f t="shared" si="5"/>
        <v>0</v>
      </c>
      <c r="U40" s="216">
        <f t="shared" si="6"/>
      </c>
      <c r="V40" s="217" t="s">
        <v>51</v>
      </c>
      <c r="X40" s="218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19"/>
      <c r="AA40" s="220"/>
      <c r="BB40" s="7">
        <f t="shared" si="7"/>
      </c>
    </row>
    <row r="41" spans="1:54" ht="12.75">
      <c r="A41" s="221" t="s">
        <v>51</v>
      </c>
      <c r="B41" s="222"/>
      <c r="C41" s="223"/>
      <c r="D41" s="224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24">
        <f>IF(D41="",,VLOOKUP(D41,D$22:D40,1,0))</f>
        <v>0</v>
      </c>
      <c r="F41" s="234">
        <f t="shared" si="1"/>
        <v>0</v>
      </c>
      <c r="G41" s="226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208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27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210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28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29"/>
      <c r="M41" s="229"/>
      <c r="N41" s="229"/>
      <c r="O41" s="213"/>
      <c r="P41" s="214">
        <f t="shared" si="2"/>
      </c>
      <c r="Q41" s="215">
        <f t="shared" si="8"/>
      </c>
      <c r="R41" s="215">
        <f t="shared" si="3"/>
        <v>0</v>
      </c>
      <c r="S41" s="215">
        <f t="shared" si="4"/>
        <v>0</v>
      </c>
      <c r="T41" s="230">
        <f t="shared" si="5"/>
        <v>0</v>
      </c>
      <c r="U41" s="216">
        <f t="shared" si="6"/>
      </c>
      <c r="V41" s="217" t="s">
        <v>51</v>
      </c>
      <c r="X41" s="218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19"/>
      <c r="AA41" s="220"/>
      <c r="BB41" s="7">
        <f t="shared" si="7"/>
      </c>
    </row>
    <row r="42" spans="1:54" ht="12.75">
      <c r="A42" s="221" t="s">
        <v>51</v>
      </c>
      <c r="B42" s="222"/>
      <c r="C42" s="223"/>
      <c r="D42" s="224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24">
        <f>IF(D42="",,VLOOKUP(D42,D$22:D41,1,0))</f>
        <v>0</v>
      </c>
      <c r="F42" s="234">
        <f t="shared" si="1"/>
        <v>0</v>
      </c>
      <c r="G42" s="226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208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27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210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28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29"/>
      <c r="M42" s="229"/>
      <c r="N42" s="229"/>
      <c r="O42" s="213"/>
      <c r="P42" s="214">
        <f t="shared" si="2"/>
      </c>
      <c r="Q42" s="215">
        <f t="shared" si="8"/>
      </c>
      <c r="R42" s="215">
        <f t="shared" si="3"/>
        <v>0</v>
      </c>
      <c r="S42" s="215">
        <f t="shared" si="4"/>
        <v>0</v>
      </c>
      <c r="T42" s="230">
        <f t="shared" si="5"/>
        <v>0</v>
      </c>
      <c r="U42" s="216">
        <f t="shared" si="6"/>
      </c>
      <c r="V42" s="217" t="s">
        <v>51</v>
      </c>
      <c r="X42" s="218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19"/>
      <c r="AA42" s="220"/>
      <c r="BB42" s="7">
        <f t="shared" si="7"/>
      </c>
    </row>
    <row r="43" spans="1:54" ht="12.75">
      <c r="A43" s="221" t="s">
        <v>51</v>
      </c>
      <c r="B43" s="222"/>
      <c r="C43" s="223"/>
      <c r="D43" s="224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24">
        <f>IF(D43="",,VLOOKUP(D43,D$22:D42,1,0))</f>
        <v>0</v>
      </c>
      <c r="F43" s="234">
        <f t="shared" si="1"/>
        <v>0</v>
      </c>
      <c r="G43" s="226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208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27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210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28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29"/>
      <c r="M43" s="229"/>
      <c r="N43" s="229"/>
      <c r="O43" s="213"/>
      <c r="P43" s="214">
        <f t="shared" si="2"/>
      </c>
      <c r="Q43" s="215">
        <f t="shared" si="8"/>
      </c>
      <c r="R43" s="215">
        <f t="shared" si="3"/>
        <v>0</v>
      </c>
      <c r="S43" s="215">
        <f t="shared" si="4"/>
        <v>0</v>
      </c>
      <c r="T43" s="230">
        <f t="shared" si="5"/>
        <v>0</v>
      </c>
      <c r="U43" s="216">
        <f t="shared" si="6"/>
      </c>
      <c r="V43" s="217" t="s">
        <v>51</v>
      </c>
      <c r="X43" s="218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19"/>
      <c r="AA43" s="220"/>
      <c r="BB43" s="7">
        <f t="shared" si="7"/>
      </c>
    </row>
    <row r="44" spans="1:54" ht="12.75">
      <c r="A44" s="221" t="s">
        <v>51</v>
      </c>
      <c r="B44" s="222"/>
      <c r="C44" s="223"/>
      <c r="D44" s="224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24">
        <f>IF(D44="",,VLOOKUP(D44,D$22:D43,1,0))</f>
        <v>0</v>
      </c>
      <c r="F44" s="234">
        <f t="shared" si="1"/>
        <v>0</v>
      </c>
      <c r="G44" s="226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208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27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210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28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29"/>
      <c r="M44" s="229"/>
      <c r="N44" s="229"/>
      <c r="O44" s="213"/>
      <c r="P44" s="214">
        <f t="shared" si="2"/>
      </c>
      <c r="Q44" s="215">
        <f t="shared" si="8"/>
      </c>
      <c r="R44" s="215">
        <f t="shared" si="3"/>
        <v>0</v>
      </c>
      <c r="S44" s="215">
        <f t="shared" si="4"/>
        <v>0</v>
      </c>
      <c r="T44" s="230">
        <f t="shared" si="5"/>
        <v>0</v>
      </c>
      <c r="U44" s="216">
        <f t="shared" si="6"/>
      </c>
      <c r="V44" s="217" t="s">
        <v>51</v>
      </c>
      <c r="X44" s="218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19"/>
      <c r="AA44" s="220"/>
      <c r="BB44" s="7">
        <f t="shared" si="7"/>
      </c>
    </row>
    <row r="45" spans="1:54" ht="12.75">
      <c r="A45" s="221" t="s">
        <v>51</v>
      </c>
      <c r="B45" s="222"/>
      <c r="C45" s="223"/>
      <c r="D45" s="224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24">
        <f>IF(D45="",,VLOOKUP(D45,D$22:D44,1,0))</f>
        <v>0</v>
      </c>
      <c r="F45" s="234">
        <f t="shared" si="1"/>
        <v>0</v>
      </c>
      <c r="G45" s="226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208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27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210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28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29"/>
      <c r="M45" s="229"/>
      <c r="N45" s="229"/>
      <c r="O45" s="213"/>
      <c r="P45" s="214">
        <f t="shared" si="2"/>
      </c>
      <c r="Q45" s="215">
        <f t="shared" si="8"/>
      </c>
      <c r="R45" s="215">
        <f t="shared" si="3"/>
        <v>0</v>
      </c>
      <c r="S45" s="215">
        <f t="shared" si="4"/>
        <v>0</v>
      </c>
      <c r="T45" s="230">
        <f t="shared" si="5"/>
        <v>0</v>
      </c>
      <c r="U45" s="216">
        <f t="shared" si="6"/>
      </c>
      <c r="V45" s="217" t="s">
        <v>51</v>
      </c>
      <c r="X45" s="218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19"/>
      <c r="AA45" s="220"/>
      <c r="BB45" s="7">
        <f t="shared" si="7"/>
      </c>
    </row>
    <row r="46" spans="1:54" ht="12.75">
      <c r="A46" s="221" t="s">
        <v>51</v>
      </c>
      <c r="B46" s="222"/>
      <c r="C46" s="223"/>
      <c r="D46" s="224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24">
        <f>IF(D46="",,VLOOKUP(D46,D$22:D45,1,0))</f>
        <v>0</v>
      </c>
      <c r="F46" s="234">
        <f t="shared" si="1"/>
        <v>0</v>
      </c>
      <c r="G46" s="226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208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27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210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28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29"/>
      <c r="M46" s="229"/>
      <c r="N46" s="229"/>
      <c r="O46" s="213"/>
      <c r="P46" s="214">
        <f t="shared" si="2"/>
      </c>
      <c r="Q46" s="215">
        <f t="shared" si="8"/>
      </c>
      <c r="R46" s="215">
        <f t="shared" si="3"/>
        <v>0</v>
      </c>
      <c r="S46" s="215">
        <f t="shared" si="4"/>
        <v>0</v>
      </c>
      <c r="T46" s="230">
        <f t="shared" si="5"/>
        <v>0</v>
      </c>
      <c r="U46" s="216">
        <f t="shared" si="6"/>
      </c>
      <c r="V46" s="217" t="s">
        <v>51</v>
      </c>
      <c r="X46" s="218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19"/>
      <c r="AA46" s="220"/>
      <c r="BB46" s="7">
        <f t="shared" si="7"/>
      </c>
    </row>
    <row r="47" spans="1:54" ht="12.75">
      <c r="A47" s="221" t="s">
        <v>51</v>
      </c>
      <c r="B47" s="222"/>
      <c r="C47" s="223"/>
      <c r="D47" s="224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24">
        <f>IF(D47="",,VLOOKUP(D47,D$22:D46,1,0))</f>
        <v>0</v>
      </c>
      <c r="F47" s="234">
        <f t="shared" si="1"/>
        <v>0</v>
      </c>
      <c r="G47" s="226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208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27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210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28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29"/>
      <c r="M47" s="229"/>
      <c r="N47" s="229"/>
      <c r="O47" s="213"/>
      <c r="P47" s="214">
        <f t="shared" si="2"/>
      </c>
      <c r="Q47" s="215">
        <f t="shared" si="8"/>
      </c>
      <c r="R47" s="215">
        <f t="shared" si="3"/>
        <v>0</v>
      </c>
      <c r="S47" s="215">
        <f t="shared" si="4"/>
        <v>0</v>
      </c>
      <c r="T47" s="230">
        <f t="shared" si="5"/>
        <v>0</v>
      </c>
      <c r="U47" s="216">
        <f t="shared" si="6"/>
      </c>
      <c r="V47" s="217" t="s">
        <v>51</v>
      </c>
      <c r="X47" s="218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19"/>
      <c r="AA47" s="220"/>
      <c r="BB47" s="7">
        <f t="shared" si="7"/>
      </c>
    </row>
    <row r="48" spans="1:54" ht="12.75">
      <c r="A48" s="221" t="s">
        <v>51</v>
      </c>
      <c r="B48" s="222"/>
      <c r="C48" s="223"/>
      <c r="D48" s="224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24">
        <f>IF(D48="",,VLOOKUP(D48,D$22:D47,1,0))</f>
        <v>0</v>
      </c>
      <c r="F48" s="234">
        <f t="shared" si="1"/>
        <v>0</v>
      </c>
      <c r="G48" s="226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208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27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210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28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29"/>
      <c r="M48" s="229"/>
      <c r="N48" s="229"/>
      <c r="O48" s="213"/>
      <c r="P48" s="214">
        <f t="shared" si="2"/>
      </c>
      <c r="Q48" s="215">
        <f t="shared" si="8"/>
      </c>
      <c r="R48" s="215">
        <f t="shared" si="3"/>
        <v>0</v>
      </c>
      <c r="S48" s="215">
        <f t="shared" si="4"/>
        <v>0</v>
      </c>
      <c r="T48" s="230">
        <f t="shared" si="5"/>
        <v>0</v>
      </c>
      <c r="U48" s="216">
        <f t="shared" si="6"/>
      </c>
      <c r="V48" s="217" t="s">
        <v>51</v>
      </c>
      <c r="X48" s="218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19"/>
      <c r="AA48" s="220"/>
      <c r="BB48" s="7">
        <f t="shared" si="7"/>
      </c>
    </row>
    <row r="49" spans="1:54" ht="12.75">
      <c r="A49" s="221" t="s">
        <v>51</v>
      </c>
      <c r="B49" s="222"/>
      <c r="C49" s="223"/>
      <c r="D49" s="224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24">
        <f>IF(D49="",,VLOOKUP(D49,D$22:D48,1,0))</f>
        <v>0</v>
      </c>
      <c r="F49" s="234">
        <f t="shared" si="1"/>
        <v>0</v>
      </c>
      <c r="G49" s="226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208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27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210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28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29"/>
      <c r="M49" s="229"/>
      <c r="N49" s="229"/>
      <c r="O49" s="213"/>
      <c r="P49" s="214">
        <f t="shared" si="2"/>
      </c>
      <c r="Q49" s="215">
        <f t="shared" si="8"/>
      </c>
      <c r="R49" s="215">
        <f t="shared" si="3"/>
        <v>0</v>
      </c>
      <c r="S49" s="215">
        <f t="shared" si="4"/>
        <v>0</v>
      </c>
      <c r="T49" s="230">
        <f t="shared" si="5"/>
        <v>0</v>
      </c>
      <c r="U49" s="216">
        <f t="shared" si="6"/>
      </c>
      <c r="V49" s="217" t="s">
        <v>51</v>
      </c>
      <c r="X49" s="218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19"/>
      <c r="AA49" s="220"/>
      <c r="BB49" s="7">
        <f t="shared" si="7"/>
      </c>
    </row>
    <row r="50" spans="1:54" ht="12.75">
      <c r="A50" s="221" t="s">
        <v>51</v>
      </c>
      <c r="B50" s="222"/>
      <c r="C50" s="223"/>
      <c r="D50" s="224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24">
        <f>IF(D50="",,VLOOKUP(D50,D$22:D49,1,0))</f>
        <v>0</v>
      </c>
      <c r="F50" s="234">
        <f t="shared" si="1"/>
        <v>0</v>
      </c>
      <c r="G50" s="226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208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27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210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28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29"/>
      <c r="M50" s="229"/>
      <c r="N50" s="229"/>
      <c r="O50" s="213"/>
      <c r="P50" s="214">
        <f t="shared" si="2"/>
      </c>
      <c r="Q50" s="215">
        <f t="shared" si="8"/>
      </c>
      <c r="R50" s="215">
        <f t="shared" si="3"/>
        <v>0</v>
      </c>
      <c r="S50" s="215">
        <f t="shared" si="4"/>
        <v>0</v>
      </c>
      <c r="T50" s="230">
        <f t="shared" si="5"/>
        <v>0</v>
      </c>
      <c r="U50" s="216">
        <f t="shared" si="6"/>
      </c>
      <c r="V50" s="217" t="s">
        <v>51</v>
      </c>
      <c r="X50" s="218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19"/>
      <c r="AA50" s="220"/>
      <c r="BB50" s="7">
        <f t="shared" si="7"/>
      </c>
    </row>
    <row r="51" spans="1:54" ht="12.75">
      <c r="A51" s="221" t="s">
        <v>51</v>
      </c>
      <c r="B51" s="222"/>
      <c r="C51" s="223"/>
      <c r="D51" s="224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24">
        <f>IF(D51="",,VLOOKUP(D51,D$22:D50,1,0))</f>
        <v>0</v>
      </c>
      <c r="F51" s="234">
        <f t="shared" si="1"/>
        <v>0</v>
      </c>
      <c r="G51" s="226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208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27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210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28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29"/>
      <c r="M51" s="229"/>
      <c r="N51" s="229"/>
      <c r="O51" s="213"/>
      <c r="P51" s="214">
        <f t="shared" si="2"/>
      </c>
      <c r="Q51" s="215">
        <f t="shared" si="8"/>
      </c>
      <c r="R51" s="215">
        <f t="shared" si="3"/>
        <v>0</v>
      </c>
      <c r="S51" s="215">
        <f t="shared" si="4"/>
        <v>0</v>
      </c>
      <c r="T51" s="230">
        <f t="shared" si="5"/>
        <v>0</v>
      </c>
      <c r="U51" s="216">
        <f t="shared" si="6"/>
      </c>
      <c r="V51" s="217" t="s">
        <v>51</v>
      </c>
      <c r="X51" s="218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19"/>
      <c r="AA51" s="220"/>
      <c r="BB51" s="7">
        <f t="shared" si="7"/>
      </c>
    </row>
    <row r="52" spans="1:54" ht="12.75">
      <c r="A52" s="221" t="s">
        <v>51</v>
      </c>
      <c r="B52" s="222"/>
      <c r="C52" s="223"/>
      <c r="D52" s="224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24">
        <f>IF(D52="",,VLOOKUP(D52,D$22:D51,1,0))</f>
        <v>0</v>
      </c>
      <c r="F52" s="234">
        <f t="shared" si="1"/>
        <v>0</v>
      </c>
      <c r="G52" s="226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208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27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210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28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29"/>
      <c r="M52" s="229"/>
      <c r="N52" s="229"/>
      <c r="O52" s="213"/>
      <c r="P52" s="214">
        <f t="shared" si="2"/>
      </c>
      <c r="Q52" s="215">
        <f t="shared" si="8"/>
      </c>
      <c r="R52" s="215">
        <f t="shared" si="3"/>
        <v>0</v>
      </c>
      <c r="S52" s="215">
        <f t="shared" si="4"/>
        <v>0</v>
      </c>
      <c r="T52" s="230">
        <f t="shared" si="5"/>
        <v>0</v>
      </c>
      <c r="U52" s="216">
        <f t="shared" si="6"/>
      </c>
      <c r="V52" s="217" t="s">
        <v>51</v>
      </c>
      <c r="X52" s="218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19"/>
      <c r="AA52" s="220"/>
      <c r="BB52" s="7">
        <f t="shared" si="7"/>
      </c>
    </row>
    <row r="53" spans="1:54" ht="12.75">
      <c r="A53" s="221" t="s">
        <v>51</v>
      </c>
      <c r="B53" s="222"/>
      <c r="C53" s="223"/>
      <c r="D53" s="224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24">
        <f>IF(D53="",,VLOOKUP(D53,D$22:D52,1,0))</f>
        <v>0</v>
      </c>
      <c r="F53" s="234">
        <f t="shared" si="1"/>
        <v>0</v>
      </c>
      <c r="G53" s="226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208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27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210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28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29"/>
      <c r="M53" s="229"/>
      <c r="N53" s="229"/>
      <c r="O53" s="213"/>
      <c r="P53" s="214">
        <f t="shared" si="2"/>
      </c>
      <c r="Q53" s="215">
        <f t="shared" si="8"/>
      </c>
      <c r="R53" s="215">
        <f t="shared" si="3"/>
        <v>0</v>
      </c>
      <c r="S53" s="215">
        <f t="shared" si="4"/>
        <v>0</v>
      </c>
      <c r="T53" s="230">
        <f t="shared" si="5"/>
        <v>0</v>
      </c>
      <c r="U53" s="216">
        <f t="shared" si="6"/>
      </c>
      <c r="V53" s="217" t="s">
        <v>51</v>
      </c>
      <c r="X53" s="218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19"/>
      <c r="AA53" s="220"/>
      <c r="BB53" s="7">
        <f t="shared" si="7"/>
      </c>
    </row>
    <row r="54" spans="1:54" ht="12.75">
      <c r="A54" s="221" t="s">
        <v>51</v>
      </c>
      <c r="B54" s="222"/>
      <c r="C54" s="223"/>
      <c r="D54" s="224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24">
        <f>IF(D54="",,VLOOKUP(D54,D$22:D53,1,0))</f>
        <v>0</v>
      </c>
      <c r="F54" s="234">
        <f t="shared" si="1"/>
        <v>0</v>
      </c>
      <c r="G54" s="226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208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27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210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28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29"/>
      <c r="M54" s="229"/>
      <c r="N54" s="229"/>
      <c r="O54" s="213"/>
      <c r="P54" s="214">
        <f t="shared" si="2"/>
      </c>
      <c r="Q54" s="215">
        <f t="shared" si="8"/>
      </c>
      <c r="R54" s="215">
        <f t="shared" si="3"/>
        <v>0</v>
      </c>
      <c r="S54" s="215">
        <f t="shared" si="4"/>
        <v>0</v>
      </c>
      <c r="T54" s="230">
        <f t="shared" si="5"/>
        <v>0</v>
      </c>
      <c r="U54" s="216">
        <f t="shared" si="6"/>
      </c>
      <c r="V54" s="217" t="s">
        <v>51</v>
      </c>
      <c r="X54" s="218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19"/>
      <c r="AA54" s="220"/>
      <c r="BB54" s="7">
        <f t="shared" si="7"/>
      </c>
    </row>
    <row r="55" spans="1:54" ht="12.75">
      <c r="A55" s="221" t="s">
        <v>51</v>
      </c>
      <c r="B55" s="222"/>
      <c r="C55" s="223"/>
      <c r="D55" s="224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24">
        <f>IF(D55="",,VLOOKUP(D55,D$22:D54,1,0))</f>
        <v>0</v>
      </c>
      <c r="F55" s="234">
        <f t="shared" si="1"/>
        <v>0</v>
      </c>
      <c r="G55" s="226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208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27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210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28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29"/>
      <c r="M55" s="229"/>
      <c r="N55" s="229"/>
      <c r="O55" s="213"/>
      <c r="P55" s="214">
        <f t="shared" si="2"/>
      </c>
      <c r="Q55" s="215">
        <f t="shared" si="8"/>
      </c>
      <c r="R55" s="215">
        <f t="shared" si="3"/>
        <v>0</v>
      </c>
      <c r="S55" s="215">
        <f t="shared" si="4"/>
        <v>0</v>
      </c>
      <c r="T55" s="230">
        <f t="shared" si="5"/>
        <v>0</v>
      </c>
      <c r="U55" s="216">
        <f t="shared" si="6"/>
      </c>
      <c r="V55" s="217" t="s">
        <v>51</v>
      </c>
      <c r="X55" s="218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19"/>
      <c r="AA55" s="220"/>
      <c r="BB55" s="7">
        <f t="shared" si="7"/>
      </c>
    </row>
    <row r="56" spans="1:54" ht="12.75">
      <c r="A56" s="221" t="s">
        <v>51</v>
      </c>
      <c r="B56" s="222"/>
      <c r="C56" s="223"/>
      <c r="D56" s="224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24">
        <f>IF(D56="",,VLOOKUP(D56,D$22:D55,1,0))</f>
        <v>0</v>
      </c>
      <c r="F56" s="234">
        <f t="shared" si="1"/>
        <v>0</v>
      </c>
      <c r="G56" s="226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208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27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210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28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29"/>
      <c r="M56" s="229"/>
      <c r="N56" s="229"/>
      <c r="O56" s="213"/>
      <c r="P56" s="214">
        <f t="shared" si="2"/>
      </c>
      <c r="Q56" s="215">
        <f t="shared" si="8"/>
      </c>
      <c r="R56" s="215">
        <f t="shared" si="3"/>
        <v>0</v>
      </c>
      <c r="S56" s="215">
        <f t="shared" si="4"/>
        <v>0</v>
      </c>
      <c r="T56" s="230">
        <f t="shared" si="5"/>
        <v>0</v>
      </c>
      <c r="U56" s="216">
        <f t="shared" si="6"/>
      </c>
      <c r="V56" s="217" t="s">
        <v>51</v>
      </c>
      <c r="X56" s="218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19"/>
      <c r="AA56" s="220"/>
      <c r="BB56" s="7">
        <f t="shared" si="7"/>
      </c>
    </row>
    <row r="57" spans="1:54" ht="12.75">
      <c r="A57" s="221" t="s">
        <v>51</v>
      </c>
      <c r="B57" s="222"/>
      <c r="C57" s="223"/>
      <c r="D57" s="224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24">
        <f>IF(D57="",,VLOOKUP(D57,D$22:D56,1,0))</f>
        <v>0</v>
      </c>
      <c r="F57" s="234">
        <f t="shared" si="1"/>
        <v>0</v>
      </c>
      <c r="G57" s="226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208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27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210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28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29"/>
      <c r="M57" s="229"/>
      <c r="N57" s="229"/>
      <c r="O57" s="213"/>
      <c r="P57" s="214">
        <f t="shared" si="2"/>
      </c>
      <c r="Q57" s="215">
        <f t="shared" si="8"/>
      </c>
      <c r="R57" s="215">
        <f t="shared" si="3"/>
        <v>0</v>
      </c>
      <c r="S57" s="215">
        <f t="shared" si="4"/>
        <v>0</v>
      </c>
      <c r="T57" s="230">
        <f t="shared" si="5"/>
        <v>0</v>
      </c>
      <c r="U57" s="216">
        <f t="shared" si="6"/>
      </c>
      <c r="V57" s="217" t="s">
        <v>51</v>
      </c>
      <c r="X57" s="218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19"/>
      <c r="AA57" s="220"/>
      <c r="BB57" s="7">
        <f t="shared" si="7"/>
      </c>
    </row>
    <row r="58" spans="1:54" ht="12.75">
      <c r="A58" s="221" t="s">
        <v>51</v>
      </c>
      <c r="B58" s="222"/>
      <c r="C58" s="223"/>
      <c r="D58" s="224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24">
        <f>IF(D58="",,VLOOKUP(D58,D$22:D57,1,0))</f>
        <v>0</v>
      </c>
      <c r="F58" s="234">
        <f t="shared" si="1"/>
        <v>0</v>
      </c>
      <c r="G58" s="226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208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27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210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28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29"/>
      <c r="M58" s="229"/>
      <c r="N58" s="229"/>
      <c r="O58" s="213"/>
      <c r="P58" s="214">
        <f t="shared" si="2"/>
      </c>
      <c r="Q58" s="215">
        <f t="shared" si="8"/>
      </c>
      <c r="R58" s="215">
        <f t="shared" si="3"/>
        <v>0</v>
      </c>
      <c r="S58" s="215">
        <f t="shared" si="4"/>
        <v>0</v>
      </c>
      <c r="T58" s="230">
        <f t="shared" si="5"/>
        <v>0</v>
      </c>
      <c r="U58" s="216">
        <f t="shared" si="6"/>
      </c>
      <c r="V58" s="217" t="s">
        <v>51</v>
      </c>
      <c r="X58" s="218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19"/>
      <c r="AA58" s="220"/>
      <c r="BB58" s="7">
        <f t="shared" si="7"/>
      </c>
    </row>
    <row r="59" spans="1:54" ht="12.75">
      <c r="A59" s="221" t="s">
        <v>51</v>
      </c>
      <c r="B59" s="222"/>
      <c r="C59" s="223"/>
      <c r="D59" s="224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24">
        <f>IF(D59="",,VLOOKUP(D59,D$22:D58,1,0))</f>
        <v>0</v>
      </c>
      <c r="F59" s="234">
        <f t="shared" si="1"/>
        <v>0</v>
      </c>
      <c r="G59" s="226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208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27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210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28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29"/>
      <c r="M59" s="229"/>
      <c r="N59" s="229"/>
      <c r="O59" s="213"/>
      <c r="P59" s="214">
        <f t="shared" si="2"/>
      </c>
      <c r="Q59" s="215">
        <f t="shared" si="8"/>
      </c>
      <c r="R59" s="215">
        <f t="shared" si="3"/>
        <v>0</v>
      </c>
      <c r="S59" s="215">
        <f t="shared" si="4"/>
        <v>0</v>
      </c>
      <c r="T59" s="230">
        <f t="shared" si="5"/>
        <v>0</v>
      </c>
      <c r="U59" s="216">
        <f t="shared" si="6"/>
      </c>
      <c r="V59" s="217" t="s">
        <v>51</v>
      </c>
      <c r="X59" s="218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19"/>
      <c r="AA59" s="220"/>
      <c r="BB59" s="7">
        <f t="shared" si="7"/>
      </c>
    </row>
    <row r="60" spans="1:54" ht="12.75">
      <c r="A60" s="221" t="s">
        <v>51</v>
      </c>
      <c r="B60" s="222"/>
      <c r="C60" s="223"/>
      <c r="D60" s="224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24">
        <f>IF(D60="",,VLOOKUP(D60,D$22:D59,1,0))</f>
        <v>0</v>
      </c>
      <c r="F60" s="234">
        <f t="shared" si="1"/>
        <v>0</v>
      </c>
      <c r="G60" s="226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208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27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210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28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29"/>
      <c r="M60" s="229"/>
      <c r="N60" s="229"/>
      <c r="O60" s="213"/>
      <c r="P60" s="214">
        <f t="shared" si="2"/>
      </c>
      <c r="Q60" s="215">
        <f t="shared" si="8"/>
      </c>
      <c r="R60" s="215">
        <f t="shared" si="3"/>
        <v>0</v>
      </c>
      <c r="S60" s="215">
        <f t="shared" si="4"/>
        <v>0</v>
      </c>
      <c r="T60" s="230">
        <f t="shared" si="5"/>
        <v>0</v>
      </c>
      <c r="U60" s="216">
        <f t="shared" si="6"/>
      </c>
      <c r="V60" s="217" t="s">
        <v>51</v>
      </c>
      <c r="X60" s="218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19"/>
      <c r="AA60" s="220"/>
      <c r="BB60" s="7">
        <f t="shared" si="7"/>
      </c>
    </row>
    <row r="61" spans="1:54" ht="12.75">
      <c r="A61" s="221" t="s">
        <v>51</v>
      </c>
      <c r="B61" s="222"/>
      <c r="C61" s="223"/>
      <c r="D61" s="224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24">
        <f>IF(D61="",,VLOOKUP(D61,D$22:D54,1,0))</f>
        <v>0</v>
      </c>
      <c r="F61" s="234">
        <f t="shared" si="1"/>
        <v>0</v>
      </c>
      <c r="G61" s="226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208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27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210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28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29"/>
      <c r="M61" s="229"/>
      <c r="N61" s="229"/>
      <c r="O61" s="213"/>
      <c r="P61" s="214">
        <f>IF(ISTEXT(H61),"",(B61*$B$7/100)+(C61*$C$7/100))</f>
      </c>
      <c r="Q61" s="215">
        <f t="shared" si="8"/>
      </c>
      <c r="R61" s="215">
        <f>IF(ISERROR(Q61*I61),0,Q61*I61)</f>
        <v>0</v>
      </c>
      <c r="S61" s="215">
        <f>IF(ISERROR(Q61*I61*J61),0,Q61*I61*J61)</f>
        <v>0</v>
      </c>
      <c r="T61" s="230">
        <f>IF(ISERROR(Q61*J61),0,Q61*J61)</f>
        <v>0</v>
      </c>
      <c r="U61" s="216">
        <f t="shared" si="6"/>
      </c>
      <c r="V61" s="217" t="s">
        <v>51</v>
      </c>
      <c r="X61" s="218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19"/>
      <c r="AA61" s="220"/>
      <c r="BB61" s="7">
        <f t="shared" si="7"/>
      </c>
    </row>
    <row r="62" spans="1:54" ht="12.75">
      <c r="A62" s="221" t="s">
        <v>51</v>
      </c>
      <c r="B62" s="222"/>
      <c r="C62" s="223"/>
      <c r="D62" s="224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24">
        <f>IF(D62="",,VLOOKUP(D62,D$22:D54,1,0))</f>
        <v>0</v>
      </c>
      <c r="F62" s="234">
        <f t="shared" si="1"/>
        <v>0</v>
      </c>
      <c r="G62" s="226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208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27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210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28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29"/>
      <c r="M62" s="229"/>
      <c r="N62" s="229"/>
      <c r="O62" s="213"/>
      <c r="P62" s="214">
        <f>IF(ISTEXT(H62),"",(B62*$B$7/100)+(C62*$C$7/100))</f>
      </c>
      <c r="Q62" s="215">
        <f t="shared" si="8"/>
      </c>
      <c r="R62" s="215">
        <f>IF(ISERROR(Q62*I62),0,Q62*I62)</f>
        <v>0</v>
      </c>
      <c r="S62" s="215">
        <f>IF(ISERROR(Q62*I62*J62),0,Q62*I62*J62)</f>
        <v>0</v>
      </c>
      <c r="T62" s="230">
        <f>IF(ISERROR(Q62*J62),0,Q62*J62)</f>
        <v>0</v>
      </c>
      <c r="U62" s="216">
        <f t="shared" si="6"/>
      </c>
      <c r="V62" s="217" t="s">
        <v>51</v>
      </c>
      <c r="X62" s="218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19"/>
      <c r="AA62" s="220"/>
      <c r="BB62" s="7">
        <f t="shared" si="7"/>
      </c>
    </row>
    <row r="63" spans="1:54" ht="12.75">
      <c r="A63" s="221" t="s">
        <v>51</v>
      </c>
      <c r="B63" s="222"/>
      <c r="C63" s="223"/>
      <c r="D63" s="224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24">
        <f>IF(D63="",,VLOOKUP(D63,D$22:D55,1,0))</f>
        <v>0</v>
      </c>
      <c r="F63" s="234">
        <f t="shared" si="1"/>
        <v>0</v>
      </c>
      <c r="G63" s="226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208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27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210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28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29"/>
      <c r="M63" s="229"/>
      <c r="N63" s="229"/>
      <c r="O63" s="213"/>
      <c r="P63" s="214">
        <f t="shared" si="2"/>
      </c>
      <c r="Q63" s="215">
        <f t="shared" si="8"/>
      </c>
      <c r="R63" s="215">
        <f t="shared" si="3"/>
        <v>0</v>
      </c>
      <c r="S63" s="215">
        <f t="shared" si="4"/>
        <v>0</v>
      </c>
      <c r="T63" s="230">
        <f t="shared" si="5"/>
        <v>0</v>
      </c>
      <c r="U63" s="216">
        <f t="shared" si="6"/>
      </c>
      <c r="V63" s="217" t="s">
        <v>51</v>
      </c>
      <c r="X63" s="218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19"/>
      <c r="AA63" s="220"/>
      <c r="BB63" s="7">
        <f t="shared" si="7"/>
      </c>
    </row>
    <row r="64" spans="1:54" ht="12.75" customHeight="1">
      <c r="A64" s="221" t="s">
        <v>51</v>
      </c>
      <c r="B64" s="222"/>
      <c r="C64" s="223"/>
      <c r="D64" s="224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24">
        <f>IF(D64="",,VLOOKUP(D64,D$22:D52,1,0))</f>
        <v>0</v>
      </c>
      <c r="F64" s="234">
        <f t="shared" si="1"/>
        <v>0</v>
      </c>
      <c r="G64" s="226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208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27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210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28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29"/>
      <c r="M64" s="229"/>
      <c r="N64" s="229"/>
      <c r="O64" s="213"/>
      <c r="P64" s="214">
        <f t="shared" si="2"/>
      </c>
      <c r="Q64" s="215">
        <f t="shared" si="8"/>
      </c>
      <c r="R64" s="215">
        <f t="shared" si="3"/>
        <v>0</v>
      </c>
      <c r="S64" s="215">
        <f t="shared" si="4"/>
        <v>0</v>
      </c>
      <c r="T64" s="230">
        <f t="shared" si="5"/>
        <v>0</v>
      </c>
      <c r="U64" s="216">
        <f t="shared" si="6"/>
      </c>
      <c r="V64" s="217" t="s">
        <v>51</v>
      </c>
      <c r="X64" s="218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19"/>
      <c r="AA64" s="220"/>
      <c r="BB64" s="7">
        <f t="shared" si="7"/>
      </c>
    </row>
    <row r="65" spans="1:54" ht="12.75">
      <c r="A65" s="221" t="s">
        <v>51</v>
      </c>
      <c r="B65" s="222"/>
      <c r="C65" s="223"/>
      <c r="D65" s="224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24">
        <f>IF(D65="",,VLOOKUP(D65,D$22:D53,1,0))</f>
        <v>0</v>
      </c>
      <c r="F65" s="234">
        <f t="shared" si="1"/>
        <v>0</v>
      </c>
      <c r="G65" s="226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208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27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210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28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29"/>
      <c r="M65" s="229"/>
      <c r="N65" s="229"/>
      <c r="O65" s="213"/>
      <c r="P65" s="214">
        <f t="shared" si="2"/>
      </c>
      <c r="Q65" s="215">
        <f t="shared" si="8"/>
      </c>
      <c r="R65" s="215">
        <f t="shared" si="3"/>
        <v>0</v>
      </c>
      <c r="S65" s="215">
        <f t="shared" si="4"/>
        <v>0</v>
      </c>
      <c r="T65" s="230">
        <f t="shared" si="5"/>
        <v>0</v>
      </c>
      <c r="U65" s="216">
        <f t="shared" si="6"/>
      </c>
      <c r="V65" s="217" t="s">
        <v>51</v>
      </c>
      <c r="X65" s="218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19"/>
      <c r="AA65" s="220"/>
      <c r="BB65" s="7">
        <f t="shared" si="7"/>
      </c>
    </row>
    <row r="66" spans="1:54" ht="12.75">
      <c r="A66" s="221" t="s">
        <v>51</v>
      </c>
      <c r="B66" s="222"/>
      <c r="C66" s="223"/>
      <c r="D66" s="224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24">
        <f>IF(D66="",,VLOOKUP(D66,D$22:D51,1,0))</f>
        <v>0</v>
      </c>
      <c r="F66" s="234">
        <f t="shared" si="1"/>
        <v>0</v>
      </c>
      <c r="G66" s="226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208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27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210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28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29"/>
      <c r="M66" s="229"/>
      <c r="N66" s="229"/>
      <c r="O66" s="213"/>
      <c r="P66" s="214">
        <f t="shared" si="2"/>
      </c>
      <c r="Q66" s="215">
        <f t="shared" si="8"/>
      </c>
      <c r="R66" s="215">
        <f t="shared" si="3"/>
        <v>0</v>
      </c>
      <c r="S66" s="215">
        <f t="shared" si="4"/>
        <v>0</v>
      </c>
      <c r="T66" s="230">
        <f t="shared" si="5"/>
        <v>0</v>
      </c>
      <c r="U66" s="216">
        <f t="shared" si="6"/>
      </c>
      <c r="V66" s="217" t="s">
        <v>51</v>
      </c>
      <c r="X66" s="218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19"/>
      <c r="AA66" s="220"/>
      <c r="BB66" s="7">
        <f t="shared" si="7"/>
      </c>
    </row>
    <row r="67" spans="1:54" ht="12.75">
      <c r="A67" s="221" t="s">
        <v>51</v>
      </c>
      <c r="B67" s="222"/>
      <c r="C67" s="223"/>
      <c r="D67" s="224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24">
        <f>IF(D67="",,VLOOKUP(D67,D$22:D52,1,0))</f>
        <v>0</v>
      </c>
      <c r="F67" s="234">
        <f t="shared" si="1"/>
        <v>0</v>
      </c>
      <c r="G67" s="226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208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27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210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28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29"/>
      <c r="M67" s="229"/>
      <c r="N67" s="229"/>
      <c r="O67" s="213"/>
      <c r="P67" s="214">
        <f t="shared" si="2"/>
      </c>
      <c r="Q67" s="215">
        <f t="shared" si="8"/>
      </c>
      <c r="R67" s="215">
        <f t="shared" si="3"/>
        <v>0</v>
      </c>
      <c r="S67" s="215">
        <f t="shared" si="4"/>
        <v>0</v>
      </c>
      <c r="T67" s="230">
        <f t="shared" si="5"/>
        <v>0</v>
      </c>
      <c r="U67" s="216">
        <f t="shared" si="6"/>
      </c>
      <c r="V67" s="217" t="s">
        <v>51</v>
      </c>
      <c r="X67" s="218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19"/>
      <c r="AA67" s="220"/>
      <c r="BB67" s="7">
        <f t="shared" si="7"/>
      </c>
    </row>
    <row r="68" spans="1:54" ht="12.75">
      <c r="A68" s="221" t="s">
        <v>51</v>
      </c>
      <c r="B68" s="222"/>
      <c r="C68" s="223"/>
      <c r="D68" s="224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24">
        <f>IF(D68="",,VLOOKUP(D68,D$22:D53,1,0))</f>
        <v>0</v>
      </c>
      <c r="F68" s="234">
        <f t="shared" si="1"/>
        <v>0</v>
      </c>
      <c r="G68" s="226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208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27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210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28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29"/>
      <c r="M68" s="229"/>
      <c r="N68" s="229"/>
      <c r="O68" s="213"/>
      <c r="P68" s="214">
        <f t="shared" si="2"/>
      </c>
      <c r="Q68" s="215">
        <f t="shared" si="8"/>
      </c>
      <c r="R68" s="215">
        <f t="shared" si="3"/>
        <v>0</v>
      </c>
      <c r="S68" s="215">
        <f t="shared" si="4"/>
        <v>0</v>
      </c>
      <c r="T68" s="230">
        <f t="shared" si="5"/>
        <v>0</v>
      </c>
      <c r="U68" s="216">
        <f t="shared" si="6"/>
      </c>
      <c r="V68" s="217" t="s">
        <v>51</v>
      </c>
      <c r="X68" s="218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19"/>
      <c r="AA68" s="220"/>
      <c r="BB68" s="7">
        <f t="shared" si="7"/>
      </c>
    </row>
    <row r="69" spans="1:54" ht="12.75">
      <c r="A69" s="221" t="s">
        <v>51</v>
      </c>
      <c r="B69" s="222"/>
      <c r="C69" s="223"/>
      <c r="D69" s="224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24">
        <f>IF(D69="",,VLOOKUP(D69,D$22:D54,1,0))</f>
        <v>0</v>
      </c>
      <c r="F69" s="234">
        <f t="shared" si="1"/>
        <v>0</v>
      </c>
      <c r="G69" s="226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208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27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210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28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29"/>
      <c r="M69" s="229"/>
      <c r="N69" s="229"/>
      <c r="O69" s="213"/>
      <c r="P69" s="214">
        <f t="shared" si="2"/>
      </c>
      <c r="Q69" s="215">
        <f t="shared" si="8"/>
      </c>
      <c r="R69" s="215">
        <f t="shared" si="3"/>
        <v>0</v>
      </c>
      <c r="S69" s="215">
        <f t="shared" si="4"/>
        <v>0</v>
      </c>
      <c r="T69" s="230">
        <f t="shared" si="5"/>
        <v>0</v>
      </c>
      <c r="U69" s="216">
        <f t="shared" si="6"/>
      </c>
      <c r="V69" s="217" t="s">
        <v>51</v>
      </c>
      <c r="X69" s="218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19"/>
      <c r="AA69" s="220"/>
      <c r="BB69" s="7">
        <f t="shared" si="7"/>
      </c>
    </row>
    <row r="70" spans="1:54" ht="12.75">
      <c r="A70" s="221" t="s">
        <v>51</v>
      </c>
      <c r="B70" s="222"/>
      <c r="C70" s="223"/>
      <c r="D70" s="224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24">
        <f>IF(D70="",,VLOOKUP(D70,D$22:D55,1,0))</f>
        <v>0</v>
      </c>
      <c r="F70" s="234">
        <f t="shared" si="1"/>
        <v>0</v>
      </c>
      <c r="G70" s="226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208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27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210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28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29"/>
      <c r="M70" s="229"/>
      <c r="N70" s="229"/>
      <c r="O70" s="213"/>
      <c r="P70" s="214">
        <f t="shared" si="2"/>
      </c>
      <c r="Q70" s="215">
        <f t="shared" si="8"/>
      </c>
      <c r="R70" s="215">
        <f t="shared" si="3"/>
        <v>0</v>
      </c>
      <c r="S70" s="215">
        <f t="shared" si="4"/>
        <v>0</v>
      </c>
      <c r="T70" s="230">
        <f t="shared" si="5"/>
        <v>0</v>
      </c>
      <c r="U70" s="216">
        <f t="shared" si="6"/>
      </c>
      <c r="V70" s="217" t="s">
        <v>51</v>
      </c>
      <c r="X70" s="218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19"/>
      <c r="AA70" s="220"/>
      <c r="BB70" s="7">
        <f t="shared" si="7"/>
      </c>
    </row>
    <row r="71" spans="1:54" ht="12.75">
      <c r="A71" s="221" t="s">
        <v>51</v>
      </c>
      <c r="B71" s="222"/>
      <c r="C71" s="223"/>
      <c r="D71" s="224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24">
        <f>IF(D71="",,VLOOKUP(D71,D$22:D56,1,0))</f>
        <v>0</v>
      </c>
      <c r="F71" s="234">
        <f t="shared" si="1"/>
        <v>0</v>
      </c>
      <c r="G71" s="226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208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27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210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28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29"/>
      <c r="M71" s="229"/>
      <c r="N71" s="229"/>
      <c r="O71" s="213"/>
      <c r="P71" s="214">
        <f t="shared" si="2"/>
      </c>
      <c r="Q71" s="215">
        <f t="shared" si="8"/>
      </c>
      <c r="R71" s="215">
        <f t="shared" si="3"/>
        <v>0</v>
      </c>
      <c r="S71" s="215">
        <f t="shared" si="4"/>
        <v>0</v>
      </c>
      <c r="T71" s="230">
        <f t="shared" si="5"/>
        <v>0</v>
      </c>
      <c r="U71" s="216">
        <f t="shared" si="6"/>
      </c>
      <c r="V71" s="217" t="s">
        <v>51</v>
      </c>
      <c r="X71" s="218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19"/>
      <c r="AA71" s="220"/>
      <c r="BB71" s="7">
        <f t="shared" si="7"/>
      </c>
    </row>
    <row r="72" spans="1:54" ht="12.75">
      <c r="A72" s="221" t="s">
        <v>51</v>
      </c>
      <c r="B72" s="222"/>
      <c r="C72" s="223"/>
      <c r="D72" s="224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24">
        <f>IF(D72="",,VLOOKUP(D72,D$22:D57,1,0))</f>
        <v>0</v>
      </c>
      <c r="F72" s="234">
        <f t="shared" si="1"/>
        <v>0</v>
      </c>
      <c r="G72" s="226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208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27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210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28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29"/>
      <c r="M72" s="229"/>
      <c r="N72" s="229"/>
      <c r="O72" s="213"/>
      <c r="P72" s="214">
        <f t="shared" si="2"/>
      </c>
      <c r="Q72" s="215">
        <f t="shared" si="8"/>
      </c>
      <c r="R72" s="215">
        <f t="shared" si="3"/>
        <v>0</v>
      </c>
      <c r="S72" s="215">
        <f t="shared" si="4"/>
        <v>0</v>
      </c>
      <c r="T72" s="230">
        <f t="shared" si="5"/>
        <v>0</v>
      </c>
      <c r="U72" s="216">
        <f t="shared" si="6"/>
      </c>
      <c r="V72" s="217" t="s">
        <v>51</v>
      </c>
      <c r="X72" s="218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19"/>
      <c r="AA72" s="220"/>
      <c r="BB72" s="7">
        <f t="shared" si="7"/>
      </c>
    </row>
    <row r="73" spans="1:54" ht="12.75">
      <c r="A73" s="221" t="s">
        <v>51</v>
      </c>
      <c r="B73" s="222"/>
      <c r="C73" s="223"/>
      <c r="D73" s="224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24">
        <f>IF(D73="",,VLOOKUP(D73,D$22:D57,1,0))</f>
        <v>0</v>
      </c>
      <c r="F73" s="234">
        <f t="shared" si="1"/>
        <v>0</v>
      </c>
      <c r="G73" s="226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208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27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210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28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29"/>
      <c r="M73" s="229"/>
      <c r="N73" s="229"/>
      <c r="O73" s="213"/>
      <c r="P73" s="214">
        <f t="shared" si="2"/>
      </c>
      <c r="Q73" s="215">
        <f t="shared" si="8"/>
      </c>
      <c r="R73" s="215">
        <f t="shared" si="3"/>
        <v>0</v>
      </c>
      <c r="S73" s="215">
        <f t="shared" si="4"/>
        <v>0</v>
      </c>
      <c r="T73" s="230">
        <f t="shared" si="5"/>
        <v>0</v>
      </c>
      <c r="U73" s="216">
        <f t="shared" si="6"/>
      </c>
      <c r="V73" s="217" t="s">
        <v>51</v>
      </c>
      <c r="X73" s="218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19"/>
      <c r="AA73" s="220"/>
      <c r="BB73" s="7">
        <f t="shared" si="7"/>
      </c>
    </row>
    <row r="74" spans="1:54" ht="12.75">
      <c r="A74" s="221" t="s">
        <v>51</v>
      </c>
      <c r="B74" s="222"/>
      <c r="C74" s="223"/>
      <c r="D74" s="224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24">
        <f>IF(D74="",,VLOOKUP(D74,D$22:D58,1,0))</f>
        <v>0</v>
      </c>
      <c r="F74" s="234">
        <f t="shared" si="1"/>
        <v>0</v>
      </c>
      <c r="G74" s="226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208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27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210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28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29"/>
      <c r="M74" s="229"/>
      <c r="N74" s="229"/>
      <c r="O74" s="213"/>
      <c r="P74" s="214">
        <f t="shared" si="2"/>
      </c>
      <c r="Q74" s="215">
        <f t="shared" si="8"/>
      </c>
      <c r="R74" s="215">
        <f t="shared" si="3"/>
        <v>0</v>
      </c>
      <c r="S74" s="215">
        <f t="shared" si="4"/>
        <v>0</v>
      </c>
      <c r="T74" s="230">
        <f t="shared" si="5"/>
        <v>0</v>
      </c>
      <c r="U74" s="216">
        <f t="shared" si="6"/>
      </c>
      <c r="V74" s="217" t="s">
        <v>51</v>
      </c>
      <c r="X74" s="218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19"/>
      <c r="AA74" s="220"/>
      <c r="BB74" s="7">
        <f t="shared" si="7"/>
      </c>
    </row>
    <row r="75" spans="1:54" ht="12.75">
      <c r="A75" s="221" t="s">
        <v>51</v>
      </c>
      <c r="B75" s="222"/>
      <c r="C75" s="223"/>
      <c r="D75" s="224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24">
        <f>IF(D75="",,VLOOKUP(D75,D$22:D59,1,0))</f>
        <v>0</v>
      </c>
      <c r="F75" s="234">
        <f t="shared" si="1"/>
        <v>0</v>
      </c>
      <c r="G75" s="226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208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27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210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28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29"/>
      <c r="M75" s="229"/>
      <c r="N75" s="229"/>
      <c r="O75" s="213"/>
      <c r="P75" s="214">
        <f t="shared" si="2"/>
      </c>
      <c r="Q75" s="215">
        <f t="shared" si="8"/>
      </c>
      <c r="R75" s="215">
        <f t="shared" si="3"/>
        <v>0</v>
      </c>
      <c r="S75" s="215">
        <f t="shared" si="4"/>
        <v>0</v>
      </c>
      <c r="T75" s="230">
        <f t="shared" si="5"/>
        <v>0</v>
      </c>
      <c r="U75" s="216">
        <f t="shared" si="6"/>
      </c>
      <c r="V75" s="217" t="s">
        <v>51</v>
      </c>
      <c r="X75" s="218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19"/>
      <c r="AA75" s="220"/>
      <c r="BB75" s="7">
        <f t="shared" si="7"/>
      </c>
    </row>
    <row r="76" spans="1:54" ht="12.75">
      <c r="A76" s="221" t="s">
        <v>51</v>
      </c>
      <c r="B76" s="222"/>
      <c r="C76" s="223"/>
      <c r="D76" s="224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24">
        <f>IF(D76="",,VLOOKUP(D76,D$22:D59,1,0))</f>
        <v>0</v>
      </c>
      <c r="F76" s="234">
        <f t="shared" si="1"/>
        <v>0</v>
      </c>
      <c r="G76" s="226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208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27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210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28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29"/>
      <c r="M76" s="229"/>
      <c r="N76" s="229"/>
      <c r="O76" s="213"/>
      <c r="P76" s="214">
        <f>IF(ISTEXT(H76),"",(B76*$B$7/100)+(C76*$C$7/100))</f>
      </c>
      <c r="Q76" s="215">
        <f t="shared" si="8"/>
      </c>
      <c r="R76" s="215">
        <f>IF(ISERROR(Q76*I76),0,Q76*I76)</f>
        <v>0</v>
      </c>
      <c r="S76" s="215">
        <f>IF(ISERROR(Q76*I76*J76),0,Q76*I76*J76)</f>
        <v>0</v>
      </c>
      <c r="T76" s="230">
        <f>IF(ISERROR(Q76*J76),0,Q76*J76)</f>
        <v>0</v>
      </c>
      <c r="U76" s="216">
        <f t="shared" si="6"/>
      </c>
      <c r="V76" s="217" t="s">
        <v>51</v>
      </c>
      <c r="X76" s="218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19"/>
      <c r="AA76" s="220"/>
      <c r="BB76" s="7">
        <f t="shared" si="7"/>
      </c>
    </row>
    <row r="77" spans="1:54" ht="12.75">
      <c r="A77" s="221" t="s">
        <v>51</v>
      </c>
      <c r="B77" s="222"/>
      <c r="C77" s="223"/>
      <c r="D77" s="224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24">
        <f>IF(D77="",,VLOOKUP(D77,D$22:D75,1,0))</f>
        <v>0</v>
      </c>
      <c r="F77" s="234">
        <f t="shared" si="1"/>
        <v>0</v>
      </c>
      <c r="G77" s="226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208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27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210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28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29"/>
      <c r="M77" s="229"/>
      <c r="N77" s="229"/>
      <c r="O77" s="213"/>
      <c r="P77" s="214">
        <f>IF(ISTEXT(H77),"",(B77*$B$7/100)+(C77*$C$7/100))</f>
      </c>
      <c r="Q77" s="215">
        <f t="shared" si="8"/>
      </c>
      <c r="R77" s="215">
        <f>IF(ISERROR(Q77*I77),0,Q77*I77)</f>
        <v>0</v>
      </c>
      <c r="S77" s="215">
        <f>IF(ISERROR(Q77*I77*J77),0,Q77*I77*J77)</f>
        <v>0</v>
      </c>
      <c r="T77" s="230">
        <f>IF(ISERROR(Q77*J77),0,Q77*J77)</f>
        <v>0</v>
      </c>
      <c r="U77" s="216">
        <f t="shared" si="6"/>
      </c>
      <c r="V77" s="217" t="s">
        <v>51</v>
      </c>
      <c r="X77" s="218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19"/>
      <c r="AA77" s="220"/>
      <c r="BB77" s="7">
        <f t="shared" si="7"/>
      </c>
    </row>
    <row r="78" spans="1:54" ht="12.75">
      <c r="A78" s="221" t="s">
        <v>51</v>
      </c>
      <c r="B78" s="222"/>
      <c r="C78" s="223"/>
      <c r="D78" s="224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24">
        <f>IF(D78="",,VLOOKUP(D78,D$22:D75,1,0))</f>
        <v>0</v>
      </c>
      <c r="F78" s="234">
        <f t="shared" si="1"/>
        <v>0</v>
      </c>
      <c r="G78" s="226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208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27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210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28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29"/>
      <c r="M78" s="229"/>
      <c r="N78" s="229"/>
      <c r="O78" s="213"/>
      <c r="P78" s="214">
        <f>IF(ISTEXT(H78),"",(B78*$B$7/100)+(C78*$C$7/100))</f>
      </c>
      <c r="Q78" s="215">
        <f t="shared" si="8"/>
      </c>
      <c r="R78" s="215">
        <f>IF(ISERROR(Q78*I78),0,Q78*I78)</f>
        <v>0</v>
      </c>
      <c r="S78" s="215">
        <f>IF(ISERROR(Q78*I78*J78),0,Q78*I78*J78)</f>
        <v>0</v>
      </c>
      <c r="T78" s="230">
        <f>IF(ISERROR(Q78*J78),0,Q78*J78)</f>
        <v>0</v>
      </c>
      <c r="U78" s="216">
        <f t="shared" si="6"/>
      </c>
      <c r="V78" s="217" t="s">
        <v>51</v>
      </c>
      <c r="X78" s="218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19"/>
      <c r="AA78" s="220"/>
      <c r="BB78" s="7">
        <f t="shared" si="7"/>
      </c>
    </row>
    <row r="79" spans="1:54" ht="12.75">
      <c r="A79" s="221" t="s">
        <v>51</v>
      </c>
      <c r="B79" s="222"/>
      <c r="C79" s="223"/>
      <c r="D79" s="224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24">
        <f>IF(D79="",,VLOOKUP(D79,D$22:D75,1,0))</f>
        <v>0</v>
      </c>
      <c r="F79" s="234">
        <f t="shared" si="1"/>
        <v>0</v>
      </c>
      <c r="G79" s="226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208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27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210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28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29"/>
      <c r="M79" s="229"/>
      <c r="N79" s="229"/>
      <c r="O79" s="213"/>
      <c r="P79" s="214">
        <f t="shared" si="2"/>
      </c>
      <c r="Q79" s="215">
        <f t="shared" si="8"/>
      </c>
      <c r="R79" s="215">
        <f t="shared" si="3"/>
        <v>0</v>
      </c>
      <c r="S79" s="215">
        <f t="shared" si="4"/>
        <v>0</v>
      </c>
      <c r="T79" s="230">
        <f t="shared" si="5"/>
        <v>0</v>
      </c>
      <c r="U79" s="216">
        <f t="shared" si="6"/>
      </c>
      <c r="V79" s="217" t="s">
        <v>51</v>
      </c>
      <c r="X79" s="218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19"/>
      <c r="AA79" s="220"/>
      <c r="BB79" s="7">
        <f t="shared" si="7"/>
      </c>
    </row>
    <row r="80" spans="1:54" ht="12.75">
      <c r="A80" s="221" t="s">
        <v>51</v>
      </c>
      <c r="B80" s="222"/>
      <c r="C80" s="223"/>
      <c r="D80" s="224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24">
        <f>IF(D80="",,VLOOKUP(D80,D$22:D79,1,0))</f>
        <v>0</v>
      </c>
      <c r="F80" s="234">
        <f t="shared" si="1"/>
        <v>0</v>
      </c>
      <c r="G80" s="226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208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27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210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28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29"/>
      <c r="M80" s="229"/>
      <c r="N80" s="229"/>
      <c r="O80" s="213"/>
      <c r="P80" s="214">
        <f t="shared" si="2"/>
      </c>
      <c r="Q80" s="215">
        <f t="shared" si="8"/>
      </c>
      <c r="R80" s="215">
        <f t="shared" si="3"/>
        <v>0</v>
      </c>
      <c r="S80" s="215">
        <f t="shared" si="4"/>
        <v>0</v>
      </c>
      <c r="T80" s="230">
        <f t="shared" si="5"/>
        <v>0</v>
      </c>
      <c r="U80" s="216">
        <f t="shared" si="6"/>
      </c>
      <c r="V80" s="217" t="s">
        <v>51</v>
      </c>
      <c r="X80" s="218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19"/>
      <c r="AA80" s="220"/>
      <c r="BB80" s="7">
        <f t="shared" si="7"/>
      </c>
    </row>
    <row r="81" spans="1:54" ht="12.75">
      <c r="A81" s="221" t="s">
        <v>51</v>
      </c>
      <c r="B81" s="222"/>
      <c r="C81" s="223"/>
      <c r="D81" s="224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24">
        <f>IF(D81="",,VLOOKUP(D81,D$21:D80,1,0))</f>
        <v>0</v>
      </c>
      <c r="F81" s="234">
        <f t="shared" si="1"/>
        <v>0</v>
      </c>
      <c r="G81" s="226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208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27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210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28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32"/>
      <c r="M81" s="232"/>
      <c r="N81" s="232"/>
      <c r="O81" s="213"/>
      <c r="P81" s="214">
        <f t="shared" si="2"/>
      </c>
      <c r="Q81" s="215">
        <f t="shared" si="8"/>
      </c>
      <c r="R81" s="215">
        <f t="shared" si="3"/>
        <v>0</v>
      </c>
      <c r="S81" s="215">
        <f t="shared" si="4"/>
        <v>0</v>
      </c>
      <c r="T81" s="230">
        <f t="shared" si="5"/>
        <v>0</v>
      </c>
      <c r="U81" s="216">
        <f t="shared" si="6"/>
      </c>
      <c r="V81" s="217" t="s">
        <v>51</v>
      </c>
      <c r="W81" s="236"/>
      <c r="X81" s="218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19"/>
      <c r="AA81" s="220"/>
      <c r="BB81" s="7">
        <f t="shared" si="7"/>
      </c>
    </row>
    <row r="82" spans="1:54" ht="12.75">
      <c r="A82" s="237" t="s">
        <v>51</v>
      </c>
      <c r="B82" s="238"/>
      <c r="C82" s="239"/>
      <c r="D82" s="240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40">
        <f>IF(D82="",,VLOOKUP(D82,D$20:D80,1,0))</f>
        <v>0</v>
      </c>
      <c r="F82" s="241">
        <f t="shared" si="1"/>
        <v>0</v>
      </c>
      <c r="G82" s="242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208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43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43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44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45"/>
      <c r="M82" s="245"/>
      <c r="N82" s="245"/>
      <c r="O82" s="246"/>
      <c r="P82" s="214">
        <f t="shared" si="2"/>
      </c>
      <c r="Q82" s="215">
        <f t="shared" si="8"/>
      </c>
      <c r="R82" s="215">
        <f t="shared" si="3"/>
        <v>0</v>
      </c>
      <c r="S82" s="215">
        <f t="shared" si="4"/>
        <v>0</v>
      </c>
      <c r="T82" s="230">
        <f t="shared" si="5"/>
        <v>0</v>
      </c>
      <c r="U82" s="216">
        <f t="shared" si="6"/>
      </c>
      <c r="V82" s="247" t="s">
        <v>51</v>
      </c>
      <c r="W82" s="248"/>
      <c r="X82" s="218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19"/>
      <c r="AA82" s="220"/>
      <c r="BB82" s="7">
        <f t="shared" si="7"/>
      </c>
    </row>
    <row r="83" spans="1:29" ht="15" hidden="1">
      <c r="A83" s="249" t="s">
        <v>79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215"/>
      <c r="N83" s="215"/>
      <c r="O83" s="250"/>
      <c r="P83" s="250"/>
      <c r="Q83" s="250"/>
      <c r="R83" s="250"/>
      <c r="S83" s="7"/>
      <c r="T83" s="7"/>
      <c r="U83" s="250"/>
      <c r="V83" s="250"/>
      <c r="W83" s="250"/>
      <c r="X83" s="251"/>
      <c r="Y83" s="251"/>
      <c r="Z83" s="252"/>
      <c r="AA83" s="253"/>
      <c r="AB83" s="253"/>
      <c r="AC83" s="253"/>
    </row>
    <row r="84" spans="1:29" ht="12.75" hidden="1">
      <c r="A84" s="254" t="str">
        <f>A3</f>
        <v>Var</v>
      </c>
      <c r="B84" s="255" t="str">
        <f>C3</f>
        <v>Malaussene</v>
      </c>
      <c r="C84" s="256">
        <f>A4</f>
        <v>40024</v>
      </c>
      <c r="D84" s="257">
        <f>IF(ISERROR(SUM($S$23:$S$82)/SUM($T$23:$T$82)),"",SUM($S$23:$S$82)/SUM($T$23:$T$82))</f>
        <v>11.916666666666666</v>
      </c>
      <c r="E84" s="258">
        <f>N13</f>
        <v>8</v>
      </c>
      <c r="F84" s="255">
        <f>N14</f>
        <v>8</v>
      </c>
      <c r="G84" s="255">
        <f>N15</f>
        <v>4</v>
      </c>
      <c r="H84" s="255">
        <f>N16</f>
        <v>4</v>
      </c>
      <c r="I84" s="255">
        <f>N17</f>
        <v>0</v>
      </c>
      <c r="J84" s="259">
        <f>N8</f>
        <v>11.375</v>
      </c>
      <c r="K84" s="257">
        <f>N9</f>
        <v>2.615202805574687</v>
      </c>
      <c r="L84" s="258">
        <f>N10</f>
        <v>6</v>
      </c>
      <c r="M84" s="258">
        <f>N11</f>
        <v>15</v>
      </c>
      <c r="N84" s="257">
        <f>O8</f>
        <v>1.5</v>
      </c>
      <c r="O84" s="257">
        <f>O9</f>
        <v>0.5345224838248488</v>
      </c>
      <c r="P84" s="258">
        <f>O10</f>
        <v>1</v>
      </c>
      <c r="Q84" s="258">
        <f>O11</f>
        <v>2</v>
      </c>
      <c r="R84" s="260">
        <f>F21</f>
        <v>0.08</v>
      </c>
      <c r="S84" s="258">
        <f>K11</f>
        <v>0</v>
      </c>
      <c r="T84" s="258">
        <f>K12</f>
        <v>3</v>
      </c>
      <c r="U84" s="258">
        <f>K13</f>
        <v>3</v>
      </c>
      <c r="V84" s="261">
        <f>K14</f>
        <v>2</v>
      </c>
      <c r="W84" s="262">
        <f>K15</f>
        <v>0</v>
      </c>
      <c r="Y84" s="263"/>
      <c r="Z84" s="263"/>
      <c r="AA84" s="253"/>
      <c r="AB84" s="253"/>
      <c r="AC84" s="253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64" t="s">
        <v>80</v>
      </c>
      <c r="Q86" s="7"/>
      <c r="R86" s="216"/>
      <c r="S86" s="7"/>
      <c r="T86" s="7"/>
      <c r="U86" s="7"/>
    </row>
    <row r="87" spans="16:21" ht="12.75" hidden="1">
      <c r="P87" s="7" t="s">
        <v>81</v>
      </c>
      <c r="Q87" s="7"/>
      <c r="R87" s="216">
        <f>VLOOKUP(MAX($R$23:$R$82),($R$23:$T$82),1,0)</f>
        <v>15</v>
      </c>
      <c r="S87" s="7"/>
      <c r="T87" s="7"/>
      <c r="U87" s="7"/>
    </row>
    <row r="88" spans="16:21" ht="12.75" hidden="1">
      <c r="P88" s="7" t="s">
        <v>82</v>
      </c>
      <c r="Q88" s="7"/>
      <c r="R88" s="216">
        <f>VLOOKUP((R87),($R$23:$T$82),2,0)</f>
        <v>30</v>
      </c>
      <c r="S88" s="7"/>
      <c r="T88" s="7"/>
      <c r="U88" s="7"/>
    </row>
    <row r="89" spans="16:19" ht="12.75" hidden="1">
      <c r="P89" s="7" t="s">
        <v>83</v>
      </c>
      <c r="Q89" s="7"/>
      <c r="R89" s="216">
        <f>VLOOKUP((R87),($R$23:$T$82),3,0)</f>
        <v>2</v>
      </c>
      <c r="S89" s="7"/>
    </row>
    <row r="90" spans="16:19" ht="12.75" hidden="1">
      <c r="P90" s="7" t="s">
        <v>84</v>
      </c>
      <c r="Q90" s="7"/>
      <c r="R90" s="265">
        <f>IF(ISERROR(SUM($S$23:$S$82)/SUM($T$23:$T$82)),"",(SUM($S$23:$S$82)-R88)/(SUM($T$23:$T$82)-R89))</f>
        <v>11.3</v>
      </c>
      <c r="S90" s="7"/>
    </row>
    <row r="91" spans="16:20" ht="12.75" hidden="1">
      <c r="P91" s="215" t="s">
        <v>85</v>
      </c>
      <c r="Q91" s="215"/>
      <c r="R91" s="215" t="str">
        <f>INDEX('[1]liste reference'!$A$7:$A$906,$S$91)</f>
        <v>CRA.COM</v>
      </c>
      <c r="S91" s="7">
        <f>IF(ISERROR(MATCH($R$93,'[1]liste reference'!$A$7:$A$906,0)),MATCH($R$93,'[1]liste reference'!$B$7:$B$906,0),(MATCH($R$93,'[1]liste reference'!$A$7:$A$906,0)))</f>
        <v>178</v>
      </c>
      <c r="T91" s="253"/>
    </row>
    <row r="92" spans="16:19" ht="12.75" hidden="1">
      <c r="P92" s="7" t="s">
        <v>86</v>
      </c>
      <c r="Q92" s="7"/>
      <c r="R92" s="7">
        <f>MATCH(R87,$R$23:$R$82,0)</f>
        <v>5</v>
      </c>
      <c r="S92" s="7"/>
    </row>
    <row r="93" spans="16:19" ht="12.75" hidden="1">
      <c r="P93" s="215" t="s">
        <v>87</v>
      </c>
      <c r="Q93" s="7"/>
      <c r="R93" s="215" t="str">
        <f>INDEX($A$23:$A$82,$R$92)</f>
        <v>CRA.COM</v>
      </c>
      <c r="S93" s="7"/>
    </row>
    <row r="94" ht="12.75">
      <c r="R94" s="253"/>
    </row>
  </sheetData>
  <sheetProtection/>
  <mergeCells count="11">
    <mergeCell ref="A8:C8"/>
    <mergeCell ref="I11:J11"/>
    <mergeCell ref="I12:J12"/>
    <mergeCell ref="I13:J13"/>
    <mergeCell ref="K22:O22"/>
    <mergeCell ref="X83:Y83"/>
    <mergeCell ref="N6:O6"/>
    <mergeCell ref="I14:J14"/>
    <mergeCell ref="I15:J15"/>
    <mergeCell ref="I17:J17"/>
    <mergeCell ref="I18:J18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2013-10-22T10:31:42Z</dcterms:created>
  <dcterms:modified xsi:type="dcterms:W3CDTF">2013-10-22T10:32:47Z</dcterms:modified>
  <cp:category/>
  <cp:version/>
  <cp:contentType/>
  <cp:contentStatus/>
</cp:coreProperties>
</file>