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MALAUSSENE"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'MALAUSSENE'!$A$1:$O$25</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<sst xmlns="http://schemas.openxmlformats.org/spreadsheetml/2006/main" count="209" uniqueCount="84">
  <si>
    <t>Relevés floristiques aquatiques - IBMR</t>
  </si>
  <si>
    <t>GIS Macrophytes - juillet 2006</t>
  </si>
  <si>
    <t>CARICAIE</t>
  </si>
  <si>
    <t>conforme AFNOR T90-395 oct. 2003</t>
  </si>
  <si>
    <t>VAR</t>
  </si>
  <si>
    <t>MALAUSSENE</t>
  </si>
  <si>
    <t>06211000</t>
  </si>
  <si>
    <t>Résultats</t>
  </si>
  <si>
    <t>Robustesse:</t>
  </si>
  <si>
    <t>F. courant</t>
  </si>
  <si>
    <t>F. lent</t>
  </si>
  <si>
    <t>station</t>
  </si>
  <si>
    <t>IBMR:</t>
  </si>
  <si>
    <t>CIN.FON</t>
  </si>
  <si>
    <t>Type de faciès</t>
  </si>
  <si>
    <t>radier</t>
  </si>
  <si>
    <t>mouille</t>
  </si>
  <si>
    <t>niv. trophique:</t>
  </si>
  <si>
    <t>moyen</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</si>
  <si>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</si>
  <si>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</si>
  <si>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</si>
  <si>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</si>
  <si>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</si>
  <si>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</si>
  <si>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</si>
  <si>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</si>
  <si>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</si>
  <si>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</si>
  <si>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</si>
  <si>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</si>
  <si>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</si>
  <si>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</si>
  <si>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</si>
  <si>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</si>
  <si>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</si>
  <si>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</si>
  <si>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</si>
  <si>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</si>
  <si>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</si>
  <si>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</si>
  <si>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</si>
  <si>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</si>
  <si>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</si>
  <si>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</si>
  <si>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</si>
  <si>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</si>
  <si>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</si>
  <si>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</si>
  <si>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</si>
  <si>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</si>
  <si>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</si>
  <si>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</si>
  <si>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</si>
  <si>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</si>
  <si>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</si>
  <si>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</si>
  <si>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</si>
  <si>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</si>
  <si>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</si>
  <si>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</si>
  <si>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</si>
  <si>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</si>
  <si>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</si>
  <si>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</si>
  <si>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</si>
  <si>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</si>
  <si>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</si>
  <si>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</si>
  <si>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</si>
  <si>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</si>
  <si>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</si>
  <si>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</si>
  <si>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OSC.SPX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</si>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</sst>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4" borderId="31" xfId="0" applyFont="1" applyFill="1" applyBorder="1" applyAlignment="1" applyProtection="1">
      <alignment horizontal="center" vertical="top"/>
      <protection hidden="1"/>
    </xf>
    <xf numFmtId="0" fontId="16" fillId="4"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6"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6" fillId="6" borderId="80" xfId="0" applyFont="1" applyFill="1" applyBorder="1" applyAlignment="1">
      <alignment horizontal="right"/>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3">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6"/>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40385</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10.25</v>
      </c>
      <c r="M5" s="51"/>
      <c r="N5" s="52" t="s">
        <v>13</v>
      </c>
      <c r="O5" s="53">
        <v>8.5</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62" t="s">
        <v>19</v>
      </c>
      <c r="O6" s="63"/>
      <c r="P6" s="7"/>
      <c r="Q6" s="7"/>
      <c r="R6" s="7"/>
      <c r="S6" s="7"/>
      <c r="T6" s="7"/>
      <c r="U6" s="7"/>
      <c r="V6" s="20"/>
      <c r="W6" s="21"/>
    </row>
    <row r="7" spans="1:23" ht="12.75">
      <c r="A7" s="64" t="s">
        <v>20</v>
      </c>
      <c r="B7" s="65">
        <v>90</v>
      </c>
      <c r="C7" s="66">
        <v>10</v>
      </c>
      <c r="D7" s="67"/>
      <c r="E7" s="67"/>
      <c r="F7" s="68">
        <f>IF((OR((B7+C7=100),(B7+C7=0))),B7+C7,"ATTENTION")</f>
        <v>100</v>
      </c>
      <c r="G7" s="69"/>
      <c r="H7" s="67"/>
      <c r="I7" s="70"/>
      <c r="J7" s="71"/>
      <c r="K7" s="72"/>
      <c r="L7" s="73"/>
      <c r="M7" s="74"/>
      <c r="N7" s="75" t="s">
        <v>21</v>
      </c>
      <c r="O7" s="76" t="s">
        <v>22</v>
      </c>
      <c r="P7" s="7"/>
      <c r="Q7" s="7"/>
      <c r="R7" s="7"/>
      <c r="S7" s="7"/>
      <c r="T7" s="7"/>
      <c r="U7" s="7"/>
      <c r="V7" s="20"/>
      <c r="W7" s="21"/>
    </row>
    <row r="8" spans="1:23" ht="12.75">
      <c r="A8" s="77" t="s">
        <v>23</v>
      </c>
      <c r="B8" s="78"/>
      <c r="C8" s="78"/>
      <c r="D8" s="67"/>
      <c r="E8" s="67"/>
      <c r="F8" s="79" t="s">
        <v>24</v>
      </c>
      <c r="G8" s="80"/>
      <c r="H8" s="81"/>
      <c r="I8" s="70"/>
      <c r="J8" s="71"/>
      <c r="K8" s="72"/>
      <c r="L8" s="73"/>
      <c r="M8" s="82" t="s">
        <v>25</v>
      </c>
      <c r="N8" s="83">
        <f>AVERAGE(I23:I82)</f>
        <v>9.666666666666666</v>
      </c>
      <c r="O8" s="84">
        <f>AVERAGE(J23:J82)</f>
        <v>1.3333333333333333</v>
      </c>
      <c r="P8" s="7"/>
      <c r="Q8" s="7"/>
      <c r="R8" s="7"/>
      <c r="S8" s="7"/>
      <c r="T8" s="7"/>
      <c r="U8" s="7"/>
      <c r="V8" s="20"/>
      <c r="W8" s="21"/>
    </row>
    <row r="9" spans="1:23" ht="13.5" thickBot="1">
      <c r="A9" s="85" t="s">
        <v>26</v>
      </c>
      <c r="B9" s="86">
        <v>0.15</v>
      </c>
      <c r="C9" s="87">
        <v>0</v>
      </c>
      <c r="D9" s="88"/>
      <c r="E9" s="88"/>
      <c r="F9" s="89">
        <f aca="true" t="shared" si="0" ref="F9:F15">($B9*$B$7+$C9*$C$7)/100</f>
        <v>0.135</v>
      </c>
      <c r="G9" s="90"/>
      <c r="H9" s="91"/>
      <c r="I9" s="92"/>
      <c r="J9" s="93"/>
      <c r="K9" s="72"/>
      <c r="L9" s="94"/>
      <c r="M9" s="82" t="s">
        <v>27</v>
      </c>
      <c r="N9" s="83">
        <f>STDEV(I23:I82)</f>
        <v>3.21455025366432</v>
      </c>
      <c r="O9" s="84">
        <f>STDEV(J23:J82)</f>
        <v>0.5773502691896258</v>
      </c>
      <c r="P9" s="7"/>
      <c r="Q9" s="7"/>
      <c r="R9" s="7"/>
      <c r="S9" s="7"/>
      <c r="T9" s="7"/>
      <c r="U9" s="7"/>
      <c r="V9" s="95"/>
      <c r="W9" s="96"/>
    </row>
    <row r="10" spans="1:21" ht="13.5" thickTop="1">
      <c r="A10" s="97" t="s">
        <v>28</v>
      </c>
      <c r="B10" s="98">
        <v>0</v>
      </c>
      <c r="C10" s="99">
        <v>0</v>
      </c>
      <c r="D10" s="100"/>
      <c r="E10" s="100"/>
      <c r="F10" s="89">
        <f t="shared" si="0"/>
        <v>0</v>
      </c>
      <c r="G10" s="90"/>
      <c r="H10" s="101"/>
      <c r="I10" s="102"/>
      <c r="J10" s="103" t="s">
        <v>29</v>
      </c>
      <c r="K10" s="103"/>
      <c r="L10" s="104"/>
      <c r="M10" s="105" t="s">
        <v>30</v>
      </c>
      <c r="N10" s="106">
        <f>MIN(I23:I82)</f>
        <v>6</v>
      </c>
      <c r="O10" s="107">
        <f>MIN(J23:J82)</f>
        <v>1</v>
      </c>
      <c r="P10" s="7"/>
      <c r="Q10" s="7"/>
      <c r="R10" s="7"/>
      <c r="S10" s="7"/>
      <c r="T10" s="7"/>
      <c r="U10" s="7"/>
    </row>
    <row r="11" spans="1:21" ht="12.75">
      <c r="A11" s="108" t="s">
        <v>31</v>
      </c>
      <c r="B11" s="109">
        <v>0</v>
      </c>
      <c r="C11" s="110">
        <v>0</v>
      </c>
      <c r="D11" s="111"/>
      <c r="E11" s="111"/>
      <c r="F11" s="112">
        <f t="shared" si="0"/>
        <v>0</v>
      </c>
      <c r="G11" s="113"/>
      <c r="H11" s="67"/>
      <c r="I11" s="114" t="s">
        <v>32</v>
      </c>
      <c r="J11" s="115"/>
      <c r="K11" s="116">
        <f>COUNTIF($G$23:$G$82,"=HET")</f>
        <v>0</v>
      </c>
      <c r="L11" s="117"/>
      <c r="M11" s="105" t="s">
        <v>33</v>
      </c>
      <c r="N11" s="106">
        <f>MAX(I23:I82)</f>
        <v>12</v>
      </c>
      <c r="O11" s="107">
        <f>MAX(J23:J82)</f>
        <v>2</v>
      </c>
      <c r="P11" s="7"/>
      <c r="Q11" s="7"/>
      <c r="R11" s="7"/>
      <c r="S11" s="7"/>
      <c r="T11" s="7"/>
      <c r="U11" s="7"/>
    </row>
    <row r="12" spans="1:21" ht="12.75">
      <c r="A12" s="118" t="s">
        <v>34</v>
      </c>
      <c r="B12" s="119">
        <v>0.1</v>
      </c>
      <c r="C12" s="120">
        <v>0</v>
      </c>
      <c r="D12" s="111"/>
      <c r="E12" s="111"/>
      <c r="F12" s="112">
        <f t="shared" si="0"/>
        <v>0.09</v>
      </c>
      <c r="G12" s="121"/>
      <c r="H12" s="67"/>
      <c r="I12" s="122" t="s">
        <v>35</v>
      </c>
      <c r="J12" s="123"/>
      <c r="K12" s="116">
        <f>COUNTIF($G$23:$G$82,"=ALG")</f>
        <v>2</v>
      </c>
      <c r="L12" s="124"/>
      <c r="M12" s="125"/>
      <c r="N12" s="126" t="s">
        <v>29</v>
      </c>
      <c r="O12" s="127"/>
      <c r="P12" s="7"/>
      <c r="Q12" s="7"/>
      <c r="R12" s="7"/>
      <c r="S12" s="7"/>
      <c r="T12" s="7"/>
      <c r="U12" s="7"/>
    </row>
    <row r="13" spans="1:21" ht="12.75">
      <c r="A13" s="118" t="s">
        <v>36</v>
      </c>
      <c r="B13" s="119">
        <v>0.05</v>
      </c>
      <c r="C13" s="120">
        <v>0</v>
      </c>
      <c r="D13" s="111"/>
      <c r="E13" s="111"/>
      <c r="F13" s="112">
        <f t="shared" si="0"/>
        <v>0.045</v>
      </c>
      <c r="G13" s="121"/>
      <c r="H13" s="67"/>
      <c r="I13" s="128" t="s">
        <v>37</v>
      </c>
      <c r="J13" s="123"/>
      <c r="K13" s="116">
        <f>COUNTIF($G$23:$G$82,"=BRm")+COUNTIF($G$23:$G$82,"=BRh")</f>
        <v>1</v>
      </c>
      <c r="L13" s="117"/>
      <c r="M13" s="129" t="s">
        <v>38</v>
      </c>
      <c r="N13" s="130">
        <f>COUNTIF(F23:F82,"&gt;0")</f>
        <v>3</v>
      </c>
      <c r="O13" s="131"/>
      <c r="P13" s="7"/>
      <c r="Q13" s="7"/>
      <c r="R13" s="7"/>
      <c r="S13" s="7"/>
      <c r="T13" s="7"/>
      <c r="U13" s="7"/>
    </row>
    <row r="14" spans="1:21" ht="12.75">
      <c r="A14" s="118" t="s">
        <v>39</v>
      </c>
      <c r="B14" s="119">
        <v>0</v>
      </c>
      <c r="C14" s="120">
        <v>0</v>
      </c>
      <c r="D14" s="111"/>
      <c r="E14" s="111"/>
      <c r="F14" s="112">
        <f t="shared" si="0"/>
        <v>0</v>
      </c>
      <c r="G14" s="121"/>
      <c r="H14" s="67"/>
      <c r="I14" s="128" t="s">
        <v>40</v>
      </c>
      <c r="J14" s="123"/>
      <c r="K14" s="116">
        <f>COUNTIF($G$23:$G$82,"=PTE")</f>
        <v>0</v>
      </c>
      <c r="L14" s="117"/>
      <c r="M14" s="132" t="s">
        <v>41</v>
      </c>
      <c r="N14" s="133">
        <f>COUNTIF($I$23:$I$82,"&gt;-1")</f>
        <v>3</v>
      </c>
      <c r="O14" s="134"/>
      <c r="P14" s="7"/>
      <c r="Q14" s="7"/>
      <c r="R14" s="7"/>
      <c r="S14" s="7"/>
      <c r="T14" s="7"/>
      <c r="U14" s="7"/>
    </row>
    <row r="15" spans="1:21" ht="12.75">
      <c r="A15" s="135" t="s">
        <v>42</v>
      </c>
      <c r="B15" s="136">
        <v>0</v>
      </c>
      <c r="C15" s="137">
        <v>0</v>
      </c>
      <c r="D15" s="111"/>
      <c r="E15" s="111"/>
      <c r="F15" s="112">
        <f t="shared" si="0"/>
        <v>0</v>
      </c>
      <c r="G15" s="121"/>
      <c r="H15" s="67"/>
      <c r="I15" s="128" t="s">
        <v>43</v>
      </c>
      <c r="J15" s="123"/>
      <c r="K15" s="116">
        <f>(COUNTIF($G$23:$G$82,"=PHy"))+(COUNTIF($G$23:$G$82,"=PHe"))+(COUNTIF($G$23:$G$82,"=PHg"))+(COUNTIF($G$23:$G$82,"=PHx"))</f>
        <v>0</v>
      </c>
      <c r="L15" s="117"/>
      <c r="M15" s="138" t="s">
        <v>44</v>
      </c>
      <c r="N15" s="139">
        <f>COUNTIF(J23:J82,"=1")</f>
        <v>2</v>
      </c>
      <c r="O15" s="140"/>
      <c r="P15" s="7"/>
      <c r="Q15" s="7"/>
      <c r="R15" s="7"/>
      <c r="S15" s="7"/>
      <c r="T15" s="7"/>
      <c r="U15" s="7"/>
    </row>
    <row r="16" spans="1:21" ht="12.75">
      <c r="A16" s="108" t="s">
        <v>45</v>
      </c>
      <c r="B16" s="109">
        <v>0</v>
      </c>
      <c r="C16" s="110">
        <v>0</v>
      </c>
      <c r="D16" s="141"/>
      <c r="E16" s="141"/>
      <c r="F16" s="142"/>
      <c r="G16" s="142">
        <f>($B16*$B$7+$C16*$C$7)/100</f>
        <v>0</v>
      </c>
      <c r="H16" s="67"/>
      <c r="I16" s="143"/>
      <c r="J16" s="144"/>
      <c r="K16" s="144"/>
      <c r="L16" s="117"/>
      <c r="M16" s="138" t="s">
        <v>46</v>
      </c>
      <c r="N16" s="139">
        <f>COUNTIF(J23:J82,"=2")</f>
        <v>1</v>
      </c>
      <c r="O16" s="140"/>
      <c r="P16" s="7"/>
      <c r="Q16" s="7"/>
      <c r="R16" s="7"/>
      <c r="S16" s="7"/>
      <c r="T16" s="7"/>
      <c r="U16" s="7"/>
    </row>
    <row r="17" spans="1:21" ht="12.75">
      <c r="A17" s="118" t="s">
        <v>47</v>
      </c>
      <c r="B17" s="119">
        <v>0.15</v>
      </c>
      <c r="C17" s="120">
        <v>0</v>
      </c>
      <c r="D17" s="111"/>
      <c r="E17" s="111"/>
      <c r="F17" s="145"/>
      <c r="G17" s="112">
        <f>($B17*$B$7+$C17*$C$7)/100</f>
        <v>0.135</v>
      </c>
      <c r="H17" s="67"/>
      <c r="I17" s="128"/>
      <c r="J17" s="123"/>
      <c r="K17" s="144"/>
      <c r="L17" s="117"/>
      <c r="M17" s="138" t="s">
        <v>48</v>
      </c>
      <c r="N17" s="139">
        <f>COUNTIF(J23:J82,"=3")</f>
        <v>0</v>
      </c>
      <c r="O17" s="140"/>
      <c r="P17" s="7"/>
      <c r="Q17" s="7"/>
      <c r="R17" s="7"/>
      <c r="S17" s="7"/>
      <c r="T17" s="7"/>
      <c r="U17" s="7"/>
    </row>
    <row r="18" spans="1:22" ht="12.75">
      <c r="A18" s="147" t="s">
        <v>49</v>
      </c>
      <c r="B18" s="148">
        <v>0</v>
      </c>
      <c r="C18" s="149">
        <v>0</v>
      </c>
      <c r="D18" s="111"/>
      <c r="E18" s="150" t="s">
        <v>50</v>
      </c>
      <c r="F18" s="145"/>
      <c r="G18" s="112">
        <f>($B18*$B$7+$C18*$C$7)/100</f>
        <v>0</v>
      </c>
      <c r="H18" s="67"/>
      <c r="I18" s="128"/>
      <c r="J18" s="123"/>
      <c r="K18" s="144"/>
      <c r="L18" s="117"/>
      <c r="M18" s="151"/>
      <c r="N18" s="151"/>
      <c r="O18" s="140"/>
      <c r="P18" s="7"/>
      <c r="Q18" s="7"/>
      <c r="R18" s="7"/>
      <c r="S18" s="7"/>
      <c r="T18" s="7"/>
      <c r="U18" s="7"/>
      <c r="V18" s="152" t="s">
        <v>51</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0.135</v>
      </c>
      <c r="G19" s="158">
        <f>SUM(G16:G18)</f>
        <v>0.135</v>
      </c>
      <c r="H19" s="159"/>
      <c r="I19" s="160"/>
      <c r="J19" s="161"/>
      <c r="K19" s="162"/>
      <c r="L19" s="163"/>
      <c r="M19" s="164"/>
      <c r="N19" s="59"/>
      <c r="O19" s="165"/>
      <c r="P19" s="7"/>
      <c r="Q19" s="7"/>
      <c r="R19" s="7"/>
      <c r="S19" s="7"/>
      <c r="T19" s="7"/>
      <c r="U19" s="7"/>
      <c r="V19" s="152" t="s">
        <v>51</v>
      </c>
    </row>
    <row r="20" spans="1:22" ht="12.75">
      <c r="A20" s="85" t="s">
        <v>83</v>
      </c>
      <c r="B20" s="166">
        <f>SUM(B23:B82)</f>
        <v>0.15000000000000002</v>
      </c>
      <c r="C20" s="167">
        <f>SUM(C23:C82)</f>
        <v>0</v>
      </c>
      <c r="D20" s="168"/>
      <c r="E20" s="169" t="s">
        <v>50</v>
      </c>
      <c r="F20" s="170">
        <f>($B20*$B$7+$C20*$C$7)/100</f>
        <v>0.135</v>
      </c>
      <c r="G20" s="171"/>
      <c r="H20" s="172"/>
      <c r="I20" s="173"/>
      <c r="J20" s="173"/>
      <c r="K20" s="174"/>
      <c r="L20" s="45"/>
      <c r="M20" s="175"/>
      <c r="N20" s="175"/>
      <c r="O20" s="176"/>
      <c r="P20" s="177" t="s">
        <v>52</v>
      </c>
      <c r="Q20" s="7"/>
      <c r="R20" s="7"/>
      <c r="S20" s="7"/>
      <c r="T20" s="7"/>
      <c r="U20" s="7"/>
      <c r="V20" s="152" t="s">
        <v>51</v>
      </c>
    </row>
    <row r="21" spans="1:22" ht="12.75">
      <c r="A21" s="178" t="s">
        <v>53</v>
      </c>
      <c r="B21" s="179">
        <f>B20*B7/100</f>
        <v>0.135</v>
      </c>
      <c r="C21" s="179">
        <f>C20*C7/100</f>
        <v>0</v>
      </c>
      <c r="D21" s="111">
        <f>IF(F21=0,"",IF((ABS(F21-F19))&gt;(0.2*F21),CONCATENATE(" rec. par taxa (",F21," %) supérieur à 20 % !"),""))</f>
      </c>
      <c r="E21" s="180">
        <f>IF(F21=0,"",IF((ABS(F21-F19))&gt;(0.2*F21),CONCATENATE("ATTENTION : écart entre rec. par grp (",F19," %) ","et",""),""))</f>
      </c>
      <c r="F21" s="181">
        <f>B21+C21</f>
        <v>0.135</v>
      </c>
      <c r="G21" s="182"/>
      <c r="H21" s="111"/>
      <c r="I21" s="183"/>
      <c r="J21" s="183"/>
      <c r="K21" s="184"/>
      <c r="L21" s="184"/>
      <c r="M21" s="185"/>
      <c r="N21" s="185"/>
      <c r="O21" s="186"/>
      <c r="P21" s="187" t="s">
        <v>54</v>
      </c>
      <c r="Q21" s="7"/>
      <c r="R21" s="7"/>
      <c r="S21" s="7"/>
      <c r="T21" s="7"/>
      <c r="U21" s="7"/>
      <c r="V21" s="152" t="s">
        <v>51</v>
      </c>
    </row>
    <row r="22" spans="1:27" ht="12.75">
      <c r="A22" s="188" t="s">
        <v>55</v>
      </c>
      <c r="B22" s="189" t="s">
        <v>56</v>
      </c>
      <c r="C22" s="190" t="s">
        <v>56</v>
      </c>
      <c r="D22" s="141"/>
      <c r="E22" s="141"/>
      <c r="F22" s="191" t="s">
        <v>57</v>
      </c>
      <c r="G22" s="192" t="s">
        <v>58</v>
      </c>
      <c r="H22" s="141"/>
      <c r="I22" s="193" t="s">
        <v>59</v>
      </c>
      <c r="J22" s="193" t="s">
        <v>60</v>
      </c>
      <c r="K22" s="194" t="s">
        <v>61</v>
      </c>
      <c r="L22" s="194"/>
      <c r="M22" s="194"/>
      <c r="N22" s="194"/>
      <c r="O22" s="195"/>
      <c r="P22" s="196" t="s">
        <v>62</v>
      </c>
      <c r="Q22" s="197" t="s">
        <v>63</v>
      </c>
      <c r="R22" s="198" t="s">
        <v>64</v>
      </c>
      <c r="S22" s="199" t="s">
        <v>65</v>
      </c>
      <c r="T22" s="200" t="s">
        <v>66</v>
      </c>
      <c r="U22" s="198" t="s">
        <v>67</v>
      </c>
      <c r="X22" s="7" t="s">
        <v>68</v>
      </c>
      <c r="Y22" s="7" t="s">
        <v>69</v>
      </c>
      <c r="Z22" s="201" t="s">
        <v>70</v>
      </c>
      <c r="AA22" s="201" t="s">
        <v>71</v>
      </c>
    </row>
    <row r="23" spans="1:54" ht="12.75">
      <c r="A23" s="202" t="s">
        <v>72</v>
      </c>
      <c r="B23" s="203">
        <v>0.05</v>
      </c>
      <c r="C23" s="204"/>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0.045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0.045</v>
      </c>
      <c r="Q23" s="215">
        <f aca="true" t="shared" si="3" ref="Q23:Q54">IF(OR(ISTEXT(H23),P23=0),"",IF(P23&lt;0.1,1,IF(P23&lt;1,2,IF(P23&lt;10,3,IF(P23&lt;50,4,IF(P23&gt;=50,5,""))))))</f>
        <v>1</v>
      </c>
      <c r="R23" s="215">
        <f aca="true" t="shared" si="4" ref="R23:R54">IF(ISERROR(Q23*I23),0,Q23*I23)</f>
        <v>6</v>
      </c>
      <c r="S23" s="215">
        <f aca="true" t="shared" si="5" ref="S23:S54">IF(ISERROR(Q23*I23*J23),0,Q23*I23*J23)</f>
        <v>6</v>
      </c>
      <c r="T23" s="215">
        <f aca="true" t="shared" si="6" ref="T23:T54">IF(ISERROR(Q23*J23),0,Q23*J23)</f>
        <v>1</v>
      </c>
      <c r="U23" s="216">
        <f aca="true" t="shared" si="7" ref="U23:U54">IF(AND(A23="",F23=0),"",IF(F23=0,"Il manque le(s) % de rec. !",""))</f>
      </c>
      <c r="V23" s="217" t="s">
        <v>51</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73</v>
      </c>
      <c r="B24" s="222">
        <v>0.05</v>
      </c>
      <c r="C24" s="223"/>
      <c r="D24" s="224" t="str">
        <f>IF(ISERROR(VLOOKUP($A24,'[1]liste reference'!$A$7:$D$906,2,0)),IF(ISERROR(VLOOKUP($A24,'[1]liste reference'!$B$7:$D$906,1,0)),"",VLOOKUP($A24,'[1]liste reference'!$B$7:$D$906,1,0)),VLOOKUP($A24,'[1]liste reference'!$A$7:$D$906,2,0))</f>
        <v>Oscillatoria sp.       </v>
      </c>
      <c r="E24" s="224" t="e">
        <f>IF(D24="",,VLOOKUP(D24,D$22:D23,1,0))</f>
        <v>#N/A</v>
      </c>
      <c r="F24" s="225">
        <f t="shared" si="1"/>
        <v>0.045</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11</v>
      </c>
      <c r="J24" s="210">
        <f>IF(ISNUMBER(H24),IF(ISERROR(VLOOKUP($A24,'[1]liste reference'!$A$7:$P$906,4,0)),IF(ISERROR(VLOOKUP($A24,'[1]liste reference'!$B$7:$P$906,3,0)),"",VLOOKUP($A24,'[1]liste reference'!$B$7:$P$906,3,0)),VLOOKUP($A24,'[1]liste reference'!$A$7:$P$906,4,0)),"")</f>
        <v>1</v>
      </c>
      <c r="K24" s="228" t="str">
        <f>IF(A24="NEW.COD",AA24,IF(ISTEXT($E24),"DEJA SAISI !",IF(A24="","",IF(ISERROR(VLOOKUP($A24,'[1]liste reference'!$A$7:$D$906,2,0)),IF(ISERROR(VLOOKUP($A24,'[1]liste reference'!$B$7:$D$906,1,0)),"code non répertorié ou synonyme",VLOOKUP($A24,'[1]liste reference'!$B$7:$D$906,1,0)),VLOOKUP(A24,'[1]liste reference'!$A$7:$D$906,2,0)))))</f>
        <v>Oscillatoria sp.       </v>
      </c>
      <c r="L24" s="229"/>
      <c r="M24" s="229"/>
      <c r="N24" s="229"/>
      <c r="O24" s="213"/>
      <c r="P24" s="214">
        <f t="shared" si="2"/>
        <v>0.045</v>
      </c>
      <c r="Q24" s="215">
        <f t="shared" si="3"/>
        <v>1</v>
      </c>
      <c r="R24" s="215">
        <f t="shared" si="4"/>
        <v>11</v>
      </c>
      <c r="S24" s="215">
        <f t="shared" si="5"/>
        <v>11</v>
      </c>
      <c r="T24" s="230">
        <f t="shared" si="6"/>
        <v>1</v>
      </c>
      <c r="U24" s="216">
        <f t="shared" si="7"/>
      </c>
      <c r="V24" s="217" t="s">
        <v>51</v>
      </c>
      <c r="X24" s="218" t="str">
        <f>IF(A24="new.cod","NEW.COD",IF(AND((Y24=""),ISTEXT(A24)),A24,IF(Y24="","",INDEX('[1]liste reference'!$A$7:$A$906,Y24))))</f>
        <v>OSC.SPX</v>
      </c>
      <c r="Y24" s="7">
        <f>IF(ISERROR(MATCH(A24,'[1]liste reference'!$A$7:$A$906,0)),IF(ISERROR(MATCH(A24,'[1]liste reference'!$B$7:$B$906,0)),"",(MATCH(A24,'[1]liste reference'!$B$7:$B$906,0))),(MATCH(A24,'[1]liste reference'!$A$7:$A$906,0)))</f>
        <v>57</v>
      </c>
      <c r="Z24" s="219"/>
      <c r="AA24" s="220"/>
      <c r="BB24" s="7">
        <f t="shared" si="8"/>
        <v>1</v>
      </c>
    </row>
    <row r="25" spans="1:54" ht="12.75">
      <c r="A25" s="221" t="s">
        <v>13</v>
      </c>
      <c r="B25" s="222">
        <v>0.05</v>
      </c>
      <c r="C25" s="223"/>
      <c r="D25" s="224" t="str">
        <f>IF(ISERROR(VLOOKUP($A25,'[1]liste reference'!$A$7:$D$906,2,0)),IF(ISERROR(VLOOKUP($A25,'[1]liste reference'!$B$7:$D$906,1,0)),"",VLOOKUP($A25,'[1]liste reference'!$B$7:$D$906,1,0)),VLOOKUP($A25,'[1]liste reference'!$A$7:$D$906,2,0))</f>
        <v>Cinclidotus fontinaloides</v>
      </c>
      <c r="E25" s="224" t="e">
        <f>IF(D25="",,VLOOKUP(D25,D$22:D24,1,0))</f>
        <v>#N/A</v>
      </c>
      <c r="F25" s="225">
        <f t="shared" si="1"/>
        <v>0.045</v>
      </c>
      <c r="G25" s="226" t="str">
        <f>IF(A25="","",IF(ISERROR(VLOOKUP($A25,'[1]liste reference'!$A$7:$P$906,13,0)),IF(ISERROR(VLOOKUP($A25,'[1]liste reference'!$B$7:$P$906,12,0)),"    -",VLOOKUP($A25,'[1]liste reference'!$B$7:$P$906,12,0)),VLOOKUP($A25,'[1]liste reference'!$A$7:$P$906,13,0)))</f>
        <v>BRm</v>
      </c>
      <c r="H25" s="208">
        <f>IF(A25="","x",IF(ISERROR(VLOOKUP($A25,'[1]liste reference'!$A$7:$P$906,14,0)),IF(ISERROR(VLOOKUP($A25,'[1]liste reference'!$B$7:$P$906,13,0)),"x",VLOOKUP($A25,'[1]liste reference'!$B$7:$P$906,13,0)),VLOOKUP($A25,'[1]liste reference'!$A$7:$P$906,14,0)))</f>
        <v>5</v>
      </c>
      <c r="I25" s="227">
        <f>IF(ISNUMBER(H25),IF(ISERROR(VLOOKUP($A25,'[1]liste reference'!$A$7:$P$906,3,0)),IF(ISERROR(VLOOKUP($A25,'[1]liste reference'!$B$7:$P$906,2,0)),"",VLOOKUP($A25,'[1]liste reference'!$B$7:$P$906,2,0)),VLOOKUP($A25,'[1]liste reference'!$A$7:$P$906,3,0)),"")</f>
        <v>12</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Cinclidotus fontinaloides</v>
      </c>
      <c r="L25" s="229"/>
      <c r="M25" s="229"/>
      <c r="N25" s="229"/>
      <c r="O25" s="213"/>
      <c r="P25" s="214">
        <f t="shared" si="2"/>
        <v>0.045</v>
      </c>
      <c r="Q25" s="215">
        <f t="shared" si="3"/>
        <v>1</v>
      </c>
      <c r="R25" s="215">
        <f t="shared" si="4"/>
        <v>12</v>
      </c>
      <c r="S25" s="215">
        <f t="shared" si="5"/>
        <v>24</v>
      </c>
      <c r="T25" s="230">
        <f t="shared" si="6"/>
        <v>2</v>
      </c>
      <c r="U25" s="216">
        <f t="shared" si="7"/>
      </c>
      <c r="V25" s="217" t="s">
        <v>51</v>
      </c>
      <c r="X25" s="218" t="str">
        <f>IF(A25="new.cod","NEW.COD",IF(AND((Y25=""),ISTEXT(A25)),A25,IF(Y25="","",INDEX('[1]liste reference'!$A$7:$A$906,Y25))))</f>
        <v>CIN.FON</v>
      </c>
      <c r="Y25" s="7">
        <f>IF(ISERROR(MATCH(A25,'[1]liste reference'!$A$7:$A$906,0)),IF(ISERROR(MATCH(A25,'[1]liste reference'!$B$7:$B$906,0)),"",(MATCH(A25,'[1]liste reference'!$B$7:$B$906,0))),(MATCH(A25,'[1]liste reference'!$A$7:$A$906,0)))</f>
        <v>173</v>
      </c>
      <c r="Z25" s="219"/>
      <c r="AA25" s="220"/>
      <c r="BB25" s="7">
        <f t="shared" si="8"/>
        <v>1</v>
      </c>
    </row>
    <row r="26" spans="1:54" ht="12.75">
      <c r="A26" s="221" t="s">
        <v>51</v>
      </c>
      <c r="B26" s="222"/>
      <c r="C26" s="223"/>
      <c r="D26" s="224">
        <f>IF(ISERROR(VLOOKUP($A26,'[1]liste reference'!$A$7:$D$906,2,0)),IF(ISERROR(VLOOKUP($A26,'[1]liste reference'!$B$7:$D$906,1,0)),"",VLOOKUP($A26,'[1]liste reference'!$B$7:$D$906,1,0)),VLOOKUP($A26,'[1]liste reference'!$A$7:$D$906,2,0))</f>
      </c>
      <c r="E26" s="224">
        <f>IF(D26="",,VLOOKUP(D26,D$22:D25,1,0))</f>
        <v>0</v>
      </c>
      <c r="F26" s="225">
        <f t="shared" si="1"/>
        <v>0</v>
      </c>
      <c r="G26" s="226">
        <f>IF(A26="","",IF(ISERROR(VLOOKUP($A26,'[1]liste reference'!$A$7:$P$906,13,0)),IF(ISERROR(VLOOKUP($A26,'[1]liste reference'!$B$7:$P$906,12,0)),"    -",VLOOKUP($A26,'[1]liste reference'!$B$7:$P$906,12,0)),VLOOKUP($A26,'[1]liste reference'!$A$7:$P$906,13,0)))</f>
      </c>
      <c r="H26" s="208" t="str">
        <f>IF(A26="","x",IF(ISERROR(VLOOKUP($A26,'[1]liste reference'!$A$7:$P$906,14,0)),IF(ISERROR(VLOOKUP($A26,'[1]liste reference'!$B$7:$P$906,13,0)),"x",VLOOKUP($A26,'[1]liste reference'!$B$7:$P$906,13,0)),VLOOKUP($A26,'[1]liste reference'!$A$7:$P$906,14,0)))</f>
        <v>x</v>
      </c>
      <c r="I26" s="227">
        <f>IF(ISNUMBER(H26),IF(ISERROR(VLOOKUP($A26,'[1]liste reference'!$A$7:$P$906,3,0)),IF(ISERROR(VLOOKUP($A26,'[1]liste reference'!$B$7:$P$906,2,0)),"",VLOOKUP($A26,'[1]liste reference'!$B$7:$P$906,2,0)),VLOOKUP($A26,'[1]liste reference'!$A$7:$P$906,3,0)),"")</f>
      </c>
      <c r="J26" s="210">
        <f>IF(ISNUMBER(H26),IF(ISERROR(VLOOKUP($A26,'[1]liste reference'!$A$7:$P$906,4,0)),IF(ISERROR(VLOOKUP($A26,'[1]liste reference'!$B$7:$P$906,3,0)),"",VLOOKUP($A26,'[1]liste reference'!$B$7:$P$906,3,0)),VLOOKUP($A26,'[1]liste reference'!$A$7:$P$906,4,0)),"")</f>
      </c>
      <c r="K26" s="228">
        <f>IF(A26="NEW.COD",AA26,IF(ISTEXT($E26),"DEJA SAISI !",IF(A26="","",IF(ISERROR(VLOOKUP($A26,'[1]liste reference'!$A$7:$D$906,2,0)),IF(ISERROR(VLOOKUP($A26,'[1]liste reference'!$B$7:$D$906,1,0)),"code non répertorié ou synonyme",VLOOKUP($A26,'[1]liste reference'!$B$7:$D$906,1,0)),VLOOKUP(A26,'[1]liste reference'!$A$7:$D$906,2,0)))))</f>
      </c>
      <c r="L26" s="229"/>
      <c r="M26" s="229"/>
      <c r="N26" s="229"/>
      <c r="O26" s="213"/>
      <c r="P26" s="214">
        <f t="shared" si="2"/>
      </c>
      <c r="Q26" s="215">
        <f t="shared" si="3"/>
      </c>
      <c r="R26" s="215">
        <f t="shared" si="4"/>
        <v>0</v>
      </c>
      <c r="S26" s="215">
        <f t="shared" si="5"/>
        <v>0</v>
      </c>
      <c r="T26" s="230">
        <f t="shared" si="6"/>
        <v>0</v>
      </c>
      <c r="U26" s="216">
        <f t="shared" si="7"/>
      </c>
      <c r="V26" s="217" t="s">
        <v>51</v>
      </c>
      <c r="X26" s="218">
        <f>IF(A26="new.cod","NEW.COD",IF(AND((Y26=""),ISTEXT(A26)),A26,IF(Y26="","",INDEX('[1]liste reference'!$A$7:$A$906,Y26))))</f>
      </c>
      <c r="Y26" s="7">
        <f>IF(ISERROR(MATCH(A26,'[1]liste reference'!$A$7:$A$906,0)),IF(ISERROR(MATCH(A26,'[1]liste reference'!$B$7:$B$906,0)),"",(MATCH(A26,'[1]liste reference'!$B$7:$B$906,0))),(MATCH(A26,'[1]liste reference'!$A$7:$A$906,0)))</f>
      </c>
      <c r="Z26" s="219"/>
      <c r="AA26" s="220"/>
      <c r="BB26" s="7">
        <f t="shared" si="8"/>
      </c>
    </row>
    <row r="27" spans="1:54" ht="12.75">
      <c r="A27" s="221" t="s">
        <v>51</v>
      </c>
      <c r="B27" s="222"/>
      <c r="C27" s="223"/>
      <c r="D27" s="224">
        <f>IF(ISERROR(VLOOKUP($A27,'[1]liste reference'!$A$7:$D$906,2,0)),IF(ISERROR(VLOOKUP($A27,'[1]liste reference'!$B$7:$D$906,1,0)),"",VLOOKUP($A27,'[1]liste reference'!$B$7:$D$906,1,0)),VLOOKUP($A27,'[1]liste reference'!$A$7:$D$906,2,0))</f>
      </c>
      <c r="E27" s="224">
        <f>IF(D27="",,VLOOKUP(D27,D$22:D26,1,0))</f>
        <v>0</v>
      </c>
      <c r="F27" s="225">
        <f t="shared" si="1"/>
        <v>0</v>
      </c>
      <c r="G27" s="226">
        <f>IF(A27="","",IF(ISERROR(VLOOKUP($A27,'[1]liste reference'!$A$7:$P$906,13,0)),IF(ISERROR(VLOOKUP($A27,'[1]liste reference'!$B$7:$P$906,12,0)),"    -",VLOOKUP($A27,'[1]liste reference'!$B$7:$P$906,12,0)),VLOOKUP($A27,'[1]liste reference'!$A$7:$P$906,13,0)))</f>
      </c>
      <c r="H27" s="208" t="str">
        <f>IF(A27="","x",IF(ISERROR(VLOOKUP($A27,'[1]liste reference'!$A$7:$P$906,14,0)),IF(ISERROR(VLOOKUP($A27,'[1]liste reference'!$B$7:$P$906,13,0)),"x",VLOOKUP($A27,'[1]liste reference'!$B$7:$P$906,13,0)),VLOOKUP($A27,'[1]liste reference'!$A$7:$P$906,14,0)))</f>
        <v>x</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f>IF(A27="NEW.COD",AA27,IF(ISTEXT($E27),"DEJA SAISI !",IF(A27="","",IF(ISERROR(VLOOKUP($A27,'[1]liste reference'!$A$7:$D$906,2,0)),IF(ISERROR(VLOOKUP($A27,'[1]liste reference'!$B$7:$D$906,1,0)),"code non répertorié ou synonyme",VLOOKUP($A27,'[1]liste reference'!$B$7:$D$906,1,0)),VLOOKUP(A27,'[1]liste reference'!$A$7:$D$906,2,0)))))</f>
      </c>
      <c r="L27" s="229"/>
      <c r="M27" s="229"/>
      <c r="N27" s="229"/>
      <c r="O27" s="213"/>
      <c r="P27" s="214">
        <f t="shared" si="2"/>
      </c>
      <c r="Q27" s="215">
        <f t="shared" si="3"/>
      </c>
      <c r="R27" s="215">
        <f t="shared" si="4"/>
        <v>0</v>
      </c>
      <c r="S27" s="215">
        <f t="shared" si="5"/>
        <v>0</v>
      </c>
      <c r="T27" s="230">
        <f t="shared" si="6"/>
        <v>0</v>
      </c>
      <c r="U27" s="216">
        <f t="shared" si="7"/>
      </c>
      <c r="V27" s="217" t="s">
        <v>51</v>
      </c>
      <c r="X27" s="218">
        <f>IF(A27="new.cod","NEW.COD",IF(AND((Y27=""),ISTEXT(A27)),A27,IF(Y27="","",INDEX('[1]liste reference'!$A$7:$A$906,Y27))))</f>
      </c>
      <c r="Y27" s="7">
        <f>IF(ISERROR(MATCH(A27,'[1]liste reference'!$A$7:$A$906,0)),IF(ISERROR(MATCH(A27,'[1]liste reference'!$B$7:$B$906,0)),"",(MATCH(A27,'[1]liste reference'!$B$7:$B$906,0))),(MATCH(A27,'[1]liste reference'!$A$7:$A$906,0)))</f>
      </c>
      <c r="Z27" s="219"/>
      <c r="AA27" s="220"/>
      <c r="BB27" s="7">
        <f t="shared" si="8"/>
      </c>
    </row>
    <row r="28" spans="1:54" ht="12.75">
      <c r="A28" s="221" t="s">
        <v>51</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51</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51</v>
      </c>
      <c r="B29" s="222"/>
      <c r="C29" s="223"/>
      <c r="D29" s="224">
        <f>IF(ISERROR(VLOOKUP($A29,'[1]liste reference'!$A$7:$D$906,2,0)),IF(ISERROR(VLOOKUP($A29,'[1]liste reference'!$B$7:$D$906,1,0)),"",VLOOKUP($A29,'[1]liste reference'!$B$7:$D$906,1,0)),VLOOKUP($A29,'[1]liste reference'!$A$7:$D$906,2,0))</f>
      </c>
      <c r="E29" s="224">
        <f>IF(D29="",,VLOOKUP(D29,D$22:D28,1,0))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51</v>
      </c>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51</v>
      </c>
      <c r="B30" s="222"/>
      <c r="C30" s="223"/>
      <c r="D30" s="224">
        <f>IF(ISERROR(VLOOKUP($A30,'[1]liste reference'!$A$7:$D$906,2,0)),IF(ISERROR(VLOOKUP($A30,'[1]liste reference'!$B$7:$D$906,1,0)),"",VLOOKUP($A30,'[1]liste reference'!$B$7:$D$906,1,0)),VLOOKUP($A30,'[1]liste reference'!$A$7:$D$906,2,0))</f>
      </c>
      <c r="E30" s="224">
        <f>IF(D30="",,VLOOKUP(D30,D$22:D29,1,0))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51</v>
      </c>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51</v>
      </c>
      <c r="B31" s="222"/>
      <c r="C31" s="223"/>
      <c r="D31" s="224">
        <f>IF(ISERROR(VLOOKUP($A31,'[1]liste reference'!$A$7:$D$906,2,0)),IF(ISERROR(VLOOKUP($A31,'[1]liste reference'!$B$7:$D$906,1,0)),"",VLOOKUP($A31,'[1]liste reference'!$B$7:$D$906,1,0)),VLOOKUP($A31,'[1]liste reference'!$A$7:$D$906,2,0))</f>
      </c>
      <c r="E31" s="224">
        <f>IF(D31="",,VLOOKUP(D31,D$21:D30,1,0))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13"/>
      <c r="P31" s="214">
        <f t="shared" si="2"/>
      </c>
      <c r="Q31" s="215">
        <f t="shared" si="3"/>
      </c>
      <c r="R31" s="215">
        <f t="shared" si="4"/>
        <v>0</v>
      </c>
      <c r="S31" s="215">
        <f t="shared" si="5"/>
        <v>0</v>
      </c>
      <c r="T31" s="230">
        <f t="shared" si="6"/>
        <v>0</v>
      </c>
      <c r="U31" s="216">
        <f t="shared" si="7"/>
      </c>
      <c r="V31" s="217" t="s">
        <v>51</v>
      </c>
      <c r="W31" s="231"/>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51</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29"/>
      <c r="M32" s="229"/>
      <c r="N32" s="229"/>
      <c r="O32" s="213"/>
      <c r="P32" s="214">
        <f t="shared" si="2"/>
      </c>
      <c r="Q32" s="215">
        <f t="shared" si="3"/>
      </c>
      <c r="R32" s="215">
        <f t="shared" si="4"/>
        <v>0</v>
      </c>
      <c r="S32" s="215">
        <f t="shared" si="5"/>
        <v>0</v>
      </c>
      <c r="T32" s="230">
        <f t="shared" si="6"/>
        <v>0</v>
      </c>
      <c r="U32" s="216">
        <f t="shared" si="7"/>
      </c>
      <c r="V32" s="217" t="s">
        <v>51</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51</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51</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51</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32"/>
      <c r="M34" s="232"/>
      <c r="N34" s="232"/>
      <c r="O34" s="233"/>
      <c r="P34" s="214">
        <f t="shared" si="2"/>
      </c>
      <c r="Q34" s="215">
        <f t="shared" si="3"/>
      </c>
      <c r="R34" s="215">
        <f t="shared" si="4"/>
        <v>0</v>
      </c>
      <c r="S34" s="215">
        <f t="shared" si="5"/>
        <v>0</v>
      </c>
      <c r="T34" s="230">
        <f t="shared" si="6"/>
        <v>0</v>
      </c>
      <c r="U34" s="216">
        <f t="shared" si="7"/>
      </c>
      <c r="V34" s="217" t="s">
        <v>51</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51</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51</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51</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51</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51</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51</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51</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51</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51</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35" t="s">
        <v>51</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51</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51</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51</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51</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51</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51</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51</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51</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51</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51</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51</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51</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51</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51</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51</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51</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51</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51</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51</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51</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51</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51</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51</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51</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51</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51</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51</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51</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51</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51</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51</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51</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51</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51</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51</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51</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51</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51</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51</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51</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51</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51</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51</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51</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51</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51</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51</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51</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51</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51</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51</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51</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51</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51</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51</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51</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51</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51</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51</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51</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51</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51</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51</v>
      </c>
      <c r="B71" s="222"/>
      <c r="C71" s="223"/>
      <c r="D71" s="224">
        <f>IF(ISERROR(VLOOKUP($A71,'[1]liste reference'!$A$7:$D$906,2,0)),IF(ISERROR(VLOOKUP($A71,'[1]liste reference'!$B$7:$D$906,1,0)),"",VLOOKUP($A71,'[1]liste reference'!$B$7:$D$906,1,0)),VLOOKUP($A71,'[1]liste reference'!$A$7:$D$906,2,0))</f>
      </c>
      <c r="E71" s="224">
        <f>IF(D71="",,VLOOKUP(D71,D$22:D56,1,0))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51</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51</v>
      </c>
      <c r="B72" s="222"/>
      <c r="C72" s="223"/>
      <c r="D72" s="224">
        <f>IF(ISERROR(VLOOKUP($A72,'[1]liste reference'!$A$7:$D$906,2,0)),IF(ISERROR(VLOOKUP($A72,'[1]liste reference'!$B$7:$D$906,1,0)),"",VLOOKUP($A72,'[1]liste reference'!$B$7:$D$906,1,0)),VLOOKUP($A72,'[1]liste reference'!$A$7:$D$906,2,0))</f>
      </c>
      <c r="E72" s="224">
        <f>IF(D72="",,VLOOKUP(D72,D$22:D57,1,0))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51</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51</v>
      </c>
      <c r="B73" s="222"/>
      <c r="C73" s="223"/>
      <c r="D73" s="224">
        <f>IF(ISERROR(VLOOKUP($A73,'[1]liste reference'!$A$7:$D$906,2,0)),IF(ISERROR(VLOOKUP($A73,'[1]liste reference'!$B$7:$D$906,1,0)),"",VLOOKUP($A73,'[1]liste reference'!$B$7:$D$906,1,0)),VLOOKUP($A73,'[1]liste reference'!$A$7:$D$906,2,0))</f>
      </c>
      <c r="E73" s="224">
        <f>IF(D73="",,VLOOKUP(D73,D$22:D57,1,0))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51</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51</v>
      </c>
      <c r="B74" s="222"/>
      <c r="C74" s="223"/>
      <c r="D74" s="224">
        <f>IF(ISERROR(VLOOKUP($A74,'[1]liste reference'!$A$7:$D$906,2,0)),IF(ISERROR(VLOOKUP($A74,'[1]liste reference'!$B$7:$D$906,1,0)),"",VLOOKUP($A74,'[1]liste reference'!$B$7:$D$906,1,0)),VLOOKUP($A74,'[1]liste reference'!$A$7:$D$906,2,0))</f>
      </c>
      <c r="E74" s="224">
        <f>IF(D74="",,VLOOKUP(D74,D$22:D58,1,0))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51</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51</v>
      </c>
      <c r="B75" s="222"/>
      <c r="C75" s="223"/>
      <c r="D75" s="224">
        <f>IF(ISERROR(VLOOKUP($A75,'[1]liste reference'!$A$7:$D$906,2,0)),IF(ISERROR(VLOOKUP($A75,'[1]liste reference'!$B$7:$D$906,1,0)),"",VLOOKUP($A75,'[1]liste reference'!$B$7:$D$906,1,0)),VLOOKUP($A75,'[1]liste reference'!$A$7:$D$906,2,0))</f>
      </c>
      <c r="E75" s="224">
        <f>IF(D75="",,VLOOKUP(D75,D$22:D59,1,0))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51</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51</v>
      </c>
      <c r="B76" s="222"/>
      <c r="C76" s="223"/>
      <c r="D76" s="224">
        <f>IF(ISERROR(VLOOKUP($A76,'[1]liste reference'!$A$7:$D$906,2,0)),IF(ISERROR(VLOOKUP($A76,'[1]liste reference'!$B$7:$D$906,1,0)),"",VLOOKUP($A76,'[1]liste reference'!$B$7:$D$906,1,0)),VLOOKUP($A76,'[1]liste reference'!$A$7:$D$906,2,0))</f>
      </c>
      <c r="E76" s="224">
        <f>IF(D76="",,VLOOKUP(D76,D$22:D59,1,0))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51</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51</v>
      </c>
      <c r="B77" s="222"/>
      <c r="C77" s="223"/>
      <c r="D77" s="224">
        <f>IF(ISERROR(VLOOKUP($A77,'[1]liste reference'!$A$7:$D$906,2,0)),IF(ISERROR(VLOOKUP($A77,'[1]liste reference'!$B$7:$D$906,1,0)),"",VLOOKUP($A77,'[1]liste reference'!$B$7:$D$906,1,0)),VLOOKUP($A77,'[1]liste reference'!$A$7:$D$906,2,0))</f>
      </c>
      <c r="E77" s="224">
        <f>IF(D77="",,VLOOKUP(D77,D$22:D75,1,0))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51</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51</v>
      </c>
      <c r="B78" s="222"/>
      <c r="C78" s="223"/>
      <c r="D78" s="224">
        <f>IF(ISERROR(VLOOKUP($A78,'[1]liste reference'!$A$7:$D$906,2,0)),IF(ISERROR(VLOOKUP($A78,'[1]liste reference'!$B$7:$D$906,1,0)),"",VLOOKUP($A78,'[1]liste reference'!$B$7:$D$906,1,0)),VLOOKUP($A78,'[1]liste reference'!$A$7:$D$906,2,0))</f>
      </c>
      <c r="E78" s="224">
        <f>IF(D78="",,VLOOKUP(D78,D$22:D75,1,0))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51</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51</v>
      </c>
      <c r="B79" s="222"/>
      <c r="C79" s="223"/>
      <c r="D79" s="224">
        <f>IF(ISERROR(VLOOKUP($A79,'[1]liste reference'!$A$7:$D$906,2,0)),IF(ISERROR(VLOOKUP($A79,'[1]liste reference'!$B$7:$D$906,1,0)),"",VLOOKUP($A79,'[1]liste reference'!$B$7:$D$906,1,0)),VLOOKUP($A79,'[1]liste reference'!$A$7:$D$906,2,0))</f>
      </c>
      <c r="E79" s="224">
        <f>IF(D79="",,VLOOKUP(D79,D$22:D75,1,0))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51</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51</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51</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51</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51</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51</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51</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74</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VAR</v>
      </c>
      <c r="B84" s="255" t="str">
        <f>C3</f>
        <v>MALAUSSENE</v>
      </c>
      <c r="C84" s="256">
        <f>A4</f>
        <v>40385</v>
      </c>
      <c r="D84" s="257">
        <f>IF(ISERROR(SUM($S$23:$S$82)/SUM($T$23:$T$82)),"",SUM($S$23:$S$82)/SUM($T$23:$T$82))</f>
        <v>10.25</v>
      </c>
      <c r="E84" s="258">
        <f>N13</f>
        <v>3</v>
      </c>
      <c r="F84" s="255">
        <f>N14</f>
        <v>3</v>
      </c>
      <c r="G84" s="255">
        <f>N15</f>
        <v>2</v>
      </c>
      <c r="H84" s="255">
        <f>N16</f>
        <v>1</v>
      </c>
      <c r="I84" s="255">
        <f>N17</f>
        <v>0</v>
      </c>
      <c r="J84" s="259">
        <f>N8</f>
        <v>9.666666666666666</v>
      </c>
      <c r="K84" s="257">
        <f>N9</f>
        <v>3.21455025366432</v>
      </c>
      <c r="L84" s="258">
        <f>N10</f>
        <v>6</v>
      </c>
      <c r="M84" s="258">
        <f>N11</f>
        <v>12</v>
      </c>
      <c r="N84" s="257">
        <f>O8</f>
        <v>1.3333333333333333</v>
      </c>
      <c r="O84" s="257">
        <f>O9</f>
        <v>0.5773502691896258</v>
      </c>
      <c r="P84" s="258">
        <f>O10</f>
        <v>1</v>
      </c>
      <c r="Q84" s="258">
        <f>O11</f>
        <v>2</v>
      </c>
      <c r="R84" s="260">
        <f>F21</f>
        <v>0.135</v>
      </c>
      <c r="S84" s="258">
        <f>K11</f>
        <v>0</v>
      </c>
      <c r="T84" s="258">
        <f>K12</f>
        <v>2</v>
      </c>
      <c r="U84" s="258">
        <f>K13</f>
        <v>1</v>
      </c>
      <c r="V84" s="261">
        <f>K14</f>
        <v>0</v>
      </c>
      <c r="W84" s="262">
        <f>K15</f>
        <v>0</v>
      </c>
      <c r="Y84" s="263"/>
      <c r="Z84" s="263"/>
      <c r="AA84" s="253"/>
      <c r="AB84" s="253"/>
      <c r="AC84" s="253"/>
    </row>
    <row r="85" spans="16:21" ht="12.75" hidden="1">
      <c r="P85" s="7"/>
      <c r="Q85" s="7"/>
      <c r="R85" s="7"/>
      <c r="S85" s="7"/>
      <c r="T85" s="7"/>
      <c r="U85" s="7"/>
    </row>
    <row r="86" spans="16:21" ht="12.75" hidden="1">
      <c r="P86" s="264" t="s">
        <v>75</v>
      </c>
      <c r="Q86" s="7"/>
      <c r="R86" s="216"/>
      <c r="S86" s="7"/>
      <c r="T86" s="7"/>
      <c r="U86" s="7"/>
    </row>
    <row r="87" spans="16:21" ht="12.75" hidden="1">
      <c r="P87" s="7" t="s">
        <v>76</v>
      </c>
      <c r="Q87" s="7"/>
      <c r="R87" s="216">
        <f>VLOOKUP(MAX($R$23:$R$82),($R$23:$T$82),1,0)</f>
        <v>12</v>
      </c>
      <c r="S87" s="7"/>
      <c r="T87" s="7"/>
      <c r="U87" s="7"/>
    </row>
    <row r="88" spans="16:21" ht="12.75" hidden="1">
      <c r="P88" s="7" t="s">
        <v>77</v>
      </c>
      <c r="Q88" s="7"/>
      <c r="R88" s="216">
        <f>VLOOKUP((R87),($R$23:$T$82),2,0)</f>
        <v>24</v>
      </c>
      <c r="S88" s="7"/>
      <c r="T88" s="7"/>
      <c r="U88" s="7"/>
    </row>
    <row r="89" spans="16:19" ht="12.75" hidden="1">
      <c r="P89" s="7" t="s">
        <v>78</v>
      </c>
      <c r="Q89" s="7"/>
      <c r="R89" s="216">
        <f>VLOOKUP((R87),($R$23:$T$82),3,0)</f>
        <v>2</v>
      </c>
      <c r="S89" s="7"/>
    </row>
    <row r="90" spans="16:19" ht="12.75" hidden="1">
      <c r="P90" s="7" t="s">
        <v>79</v>
      </c>
      <c r="Q90" s="7"/>
      <c r="R90" s="265">
        <f>IF(ISERROR(SUM($S$23:$S$82)/SUM($T$23:$T$82)),"",(SUM($S$23:$S$82)-R88)/(SUM($T$23:$T$82)-R89))</f>
        <v>8.5</v>
      </c>
      <c r="S90" s="7"/>
    </row>
    <row r="91" spans="16:20" ht="12.75" hidden="1">
      <c r="P91" s="215" t="s">
        <v>80</v>
      </c>
      <c r="Q91" s="215"/>
      <c r="R91" s="215" t="str">
        <f>INDEX('[1]liste reference'!$A$7:$A$906,$S$91)</f>
        <v>CIN.FON</v>
      </c>
      <c r="S91" s="7">
        <f>IF(ISERROR(MATCH($R$93,'[1]liste reference'!$A$7:$A$906,0)),MATCH($R$93,'[1]liste reference'!$B$7:$B$906,0),(MATCH($R$93,'[1]liste reference'!$A$7:$A$906,0)))</f>
        <v>173</v>
      </c>
      <c r="T91" s="253"/>
    </row>
    <row r="92" spans="16:19" ht="12.75" hidden="1">
      <c r="P92" s="7" t="s">
        <v>81</v>
      </c>
      <c r="Q92" s="7"/>
      <c r="R92" s="7">
        <f>MATCH(R87,$R$23:$R$82,0)</f>
        <v>3</v>
      </c>
      <c r="S92" s="7"/>
    </row>
    <row r="93" spans="16:19" ht="12.75" hidden="1">
      <c r="P93" s="215" t="s">
        <v>82</v>
      </c>
      <c r="Q93" s="7"/>
      <c r="R93" s="215" t="str">
        <f>INDEX($A$23:$A$82,$R$92)</f>
        <v>CIN.FON</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2013-10-22T08:26:16Z</dcterms:created>
  <dcterms:modified xsi:type="dcterms:W3CDTF">2013-10-22T08:26:33Z</dcterms:modified>
  <cp:category/>
  <cp:version/>
  <cp:contentType/>
  <cp:contentStatus/>
</cp:coreProperties>
</file>