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<sst xmlns="http://schemas.openxmlformats.org/spreadsheetml/2006/main" count="220" uniqueCount="111">
  <si>
    <t>Relevés floristiques aquatiques - IBMR</t>
  </si>
  <si>
    <t xml:space="preserve">Formulaire modèle GIS Macrophytes v 3.1.1 - janvier 2013  </t>
  </si>
  <si>
    <t>SAGE</t>
  </si>
  <si>
    <t>L.BOURGOIN C.BERNARD</t>
  </si>
  <si>
    <t>conforme AFNOR T90-395 oct. 2003</t>
  </si>
  <si>
    <t>Durlande</t>
  </si>
  <si>
    <t>Durlande à St Etienne du Bois</t>
  </si>
  <si>
    <t>06320220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</si>
  <si>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</si>
  <si>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</si>
  <si>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</si>
  <si>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</si>
  <si>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</si>
  <si>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</si>
  <si>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</si>
  <si>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</si>
  <si>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</si>
  <si>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</si>
  <si>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</si>
  <si>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</si>
  <si>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</si>
  <si>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</si>
  <si>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</si>
  <si>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</si>
  <si>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</si>
  <si>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</si>
  <si>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</si>
  <si>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</si>
  <si>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</si>
  <si>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</si>
  <si>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</si>
  <si>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</si>
  <si>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</si>
  <si>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</si>
  <si>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</si>
  <si>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</si>
  <si>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</si>
  <si>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</si>
  <si>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</si>
  <si>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</si>
  <si>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</si>
  <si>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</si>
  <si>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</si>
  <si>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</si>
  <si>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</si>
  <si>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</si>
  <si>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</si>
  <si>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</si>
  <si>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</si>
  <si>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</si>
  <si>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</si>
  <si>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</si>
  <si>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</si>
  <si>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</si>
  <si>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</si>
  <si>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</si>
  <si>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</si>
  <si>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</si>
  <si>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</si>
  <si>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</si>
  <si>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</si>
  <si>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</si>
  <si>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</si>
  <si>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</si>
  <si>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</si>
  <si>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</si>
  <si>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</si>
  <si>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</si>
  <si>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</si>
  <si>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</si>
  <si>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</si>
  <si>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</si>
  <si>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</si>
  <si>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</si>
  <si>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</si>
  <si>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</si>
  <si>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</si>
  <si>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</si>
  <si>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</si>
  <si>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</si>
  <si>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MICSPX</t>
  </si>
  <si>
    <t>OSCSPX</t>
  </si>
  <si>
    <t>PHOSPX</t>
  </si>
  <si>
    <t>TRISPX</t>
  </si>
  <si>
    <t>CHIPOL</t>
  </si>
  <si>
    <t>AMBRIP</t>
  </si>
  <si>
    <t>EQUSPX</t>
  </si>
  <si>
    <t>CALHAM</t>
  </si>
  <si>
    <t>RANFLA</t>
  </si>
  <si>
    <t>ALIPLA</t>
  </si>
  <si>
    <t>CARSPX</t>
  </si>
  <si>
    <t>IRIPSE</t>
  </si>
  <si>
    <t>JUNCON</t>
  </si>
  <si>
    <t>LYSNUM</t>
  </si>
  <si>
    <t>NASOFF</t>
  </si>
  <si>
    <t>RORAMP</t>
  </si>
  <si>
    <t>SPAERE</t>
  </si>
  <si>
    <t>VERANA</t>
  </si>
  <si>
    <t>GALSPX</t>
  </si>
  <si>
    <t>SOADUL</t>
  </si>
  <si>
    <t>newcod</t>
  </si>
  <si>
    <t>Polygonum persicaria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</si>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</sst>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0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1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2" fontId="0" fillId="42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2" borderId="54" xfId="0" applyNumberFormat="1" applyFont="1" applyFill="1" applyBorder="1" applyAlignment="1" applyProtection="1">
      <alignment horizontal="center"/>
      <protection locked="0"/>
    </xf>
    <xf numFmtId="2" fontId="0" fillId="42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2" borderId="65" xfId="0" applyNumberFormat="1" applyFont="1" applyFill="1" applyBorder="1" applyAlignment="1" applyProtection="1">
      <alignment horizontal="center"/>
      <protection locked="0"/>
    </xf>
    <xf numFmtId="2" fontId="0" fillId="42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3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3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5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5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3" fillId="38" borderId="80" xfId="0" applyFont="1" applyFill="1" applyBorder="1" applyAlignment="1" applyProtection="1">
      <alignment horizontal="right"/>
      <protection hidden="1"/>
    </xf>
    <xf numFmtId="0" fontId="43" fillId="38" borderId="80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URLA_20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11.615384615384615</v>
      </c>
      <c r="M5" s="52"/>
      <c r="N5" s="53" t="s">
        <v>16</v>
      </c>
      <c r="O5" s="54">
        <v>11.8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15</v>
      </c>
      <c r="C7" s="66">
        <v>85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10.933333333333334</v>
      </c>
      <c r="O8" s="84">
        <f>IF(ISERROR(AVERAGE(J23:J82)),"      -",AVERAGE(J23:J82))</f>
        <v>1.6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70.18</v>
      </c>
      <c r="C9" s="87">
        <v>48.21</v>
      </c>
      <c r="D9" s="88"/>
      <c r="E9" s="88"/>
      <c r="F9" s="89">
        <f aca="true" t="shared" si="0" ref="F9:F15">($B9*$B$7+$C9*$C$7)/100</f>
        <v>51.505500000000005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2.5681813712344295</v>
      </c>
      <c r="O9" s="84">
        <f>IF(ISERROR(STDEVP(J23:J82)),"      -",STDEVP(J23:J82))</f>
        <v>0.6110100926607787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33</v>
      </c>
      <c r="D10" s="100"/>
      <c r="E10" s="100"/>
      <c r="F10" s="89"/>
      <c r="G10" s="90"/>
      <c r="H10" s="101"/>
      <c r="I10" s="102"/>
      <c r="J10" s="103" t="s">
        <v>34</v>
      </c>
      <c r="K10" s="103"/>
      <c r="L10" s="104"/>
      <c r="M10" s="105" t="s">
        <v>35</v>
      </c>
      <c r="N10" s="106">
        <f>MIN(I23:I82)</f>
        <v>5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36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37</v>
      </c>
      <c r="J11" s="115"/>
      <c r="K11" s="116">
        <f>COUNTIF($G$23:$G$82,"=HET")</f>
        <v>0</v>
      </c>
      <c r="L11" s="117"/>
      <c r="M11" s="105" t="s">
        <v>38</v>
      </c>
      <c r="N11" s="106">
        <f>MAX(I23:I82)</f>
        <v>16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39</v>
      </c>
      <c r="B12" s="119">
        <v>0.12</v>
      </c>
      <c r="C12" s="120">
        <v>4.1</v>
      </c>
      <c r="D12" s="111"/>
      <c r="E12" s="111"/>
      <c r="F12" s="112">
        <f t="shared" si="0"/>
        <v>3.5029999999999997</v>
      </c>
      <c r="G12" s="121"/>
      <c r="H12" s="67"/>
      <c r="I12" s="122" t="s">
        <v>40</v>
      </c>
      <c r="J12" s="123"/>
      <c r="K12" s="116">
        <f>COUNTIF($G$23:$G$82,"=ALG")</f>
        <v>4</v>
      </c>
      <c r="L12" s="124"/>
      <c r="M12" s="125"/>
      <c r="N12" s="126" t="s">
        <v>34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41</v>
      </c>
      <c r="B13" s="119">
        <v>70.01</v>
      </c>
      <c r="C13" s="120">
        <v>40</v>
      </c>
      <c r="D13" s="111"/>
      <c r="E13" s="111"/>
      <c r="F13" s="112">
        <f t="shared" si="0"/>
        <v>44.50149999999999</v>
      </c>
      <c r="G13" s="121"/>
      <c r="H13" s="67"/>
      <c r="I13" s="129" t="s">
        <v>42</v>
      </c>
      <c r="J13" s="123"/>
      <c r="K13" s="116">
        <f>COUNTIF($G$23:$G$82,"=BRm")+COUNTIF($G$23:$G$82,"=BRh")</f>
        <v>3</v>
      </c>
      <c r="L13" s="117"/>
      <c r="M13" s="130" t="s">
        <v>43</v>
      </c>
      <c r="N13" s="131">
        <f>COUNTIF(F23:F82,"&gt;0")</f>
        <v>22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44</v>
      </c>
      <c r="B14" s="119"/>
      <c r="C14" s="120">
        <v>0.01</v>
      </c>
      <c r="D14" s="111"/>
      <c r="E14" s="111"/>
      <c r="F14" s="112">
        <f t="shared" si="0"/>
        <v>0.0085</v>
      </c>
      <c r="G14" s="121"/>
      <c r="H14" s="67"/>
      <c r="I14" s="129" t="s">
        <v>45</v>
      </c>
      <c r="J14" s="123"/>
      <c r="K14" s="116">
        <f>COUNTIF($G$23:$G$82,"=PTE")+COUNTIF($G$23:$G$82,"=LIC")</f>
        <v>1</v>
      </c>
      <c r="L14" s="117"/>
      <c r="M14" s="134" t="s">
        <v>46</v>
      </c>
      <c r="N14" s="135">
        <f>COUNTIF($I$23:$I$82,"&gt;-1")</f>
        <v>15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47</v>
      </c>
      <c r="B15" s="138">
        <v>0.05</v>
      </c>
      <c r="C15" s="139">
        <v>4.1</v>
      </c>
      <c r="D15" s="111"/>
      <c r="E15" s="111"/>
      <c r="F15" s="112">
        <f t="shared" si="0"/>
        <v>3.4924999999999993</v>
      </c>
      <c r="G15" s="121"/>
      <c r="H15" s="67"/>
      <c r="I15" s="129" t="s">
        <v>48</v>
      </c>
      <c r="J15" s="123"/>
      <c r="K15" s="116">
        <f>(COUNTIF($G$23:$G$82,"=PHy"))+(COUNTIF($G$23:$G$82,"=PHe"))+(COUNTIF($G$23:$G$82,"=PHg"))+(COUNTIF($G$23:$G$82,"=PHx"))</f>
        <v>13</v>
      </c>
      <c r="L15" s="117"/>
      <c r="M15" s="140" t="s">
        <v>49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50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51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52</v>
      </c>
      <c r="B17" s="119">
        <v>70.16</v>
      </c>
      <c r="C17" s="120">
        <v>45.9</v>
      </c>
      <c r="D17" s="111"/>
      <c r="E17" s="111"/>
      <c r="F17" s="147"/>
      <c r="G17" s="112">
        <f>($B17*$B$7+$C17*$C$7)/100</f>
        <v>49.538999999999994</v>
      </c>
      <c r="H17" s="67"/>
      <c r="I17" s="129"/>
      <c r="J17" s="123"/>
      <c r="K17" s="146"/>
      <c r="L17" s="117"/>
      <c r="M17" s="140" t="s">
        <v>53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54</v>
      </c>
      <c r="B18" s="150">
        <v>0.02</v>
      </c>
      <c r="C18" s="151">
        <v>2.31</v>
      </c>
      <c r="D18" s="111"/>
      <c r="E18" s="152" t="s">
        <v>55</v>
      </c>
      <c r="F18" s="147"/>
      <c r="G18" s="112">
        <f>($B18*$B$7+$C18*$C$7)/100</f>
        <v>1.9665000000000001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56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51.50549999999999</v>
      </c>
      <c r="G19" s="161">
        <f>SUM(G16:G18)</f>
        <v>51.5055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56</v>
      </c>
      <c r="W19" s="155" t="s">
        <v>56</v>
      </c>
    </row>
    <row r="20" spans="1:23" ht="12.75">
      <c r="A20" s="169" t="s">
        <v>57</v>
      </c>
      <c r="B20" s="170">
        <f>SUM(B23:B82)</f>
        <v>70.17500000000001</v>
      </c>
      <c r="C20" s="171">
        <f>SUM(C23:C82)</f>
        <v>48.22999999999999</v>
      </c>
      <c r="D20" s="172"/>
      <c r="E20" s="173" t="s">
        <v>55</v>
      </c>
      <c r="F20" s="174">
        <f>($B20*$B$7+$C20*$C$7)/100</f>
        <v>51.52174999999999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58</v>
      </c>
      <c r="R20" s="8"/>
      <c r="S20" s="8"/>
      <c r="T20" s="8"/>
      <c r="U20" s="8"/>
      <c r="V20" s="8" t="s">
        <v>56</v>
      </c>
      <c r="W20" s="155" t="s">
        <v>56</v>
      </c>
    </row>
    <row r="21" spans="1:23" ht="12.75">
      <c r="A21" s="183" t="s">
        <v>59</v>
      </c>
      <c r="B21" s="184">
        <f>B20*B7/100</f>
        <v>10.526250000000003</v>
      </c>
      <c r="C21" s="184">
        <f>C20*C7/100</f>
        <v>40.99549999999999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51.52175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60</v>
      </c>
      <c r="R21" s="8"/>
      <c r="S21" s="8"/>
      <c r="T21" s="8"/>
      <c r="U21" s="8"/>
      <c r="V21" s="8" t="s">
        <v>56</v>
      </c>
      <c r="W21" s="155" t="s">
        <v>56</v>
      </c>
    </row>
    <row r="22" spans="1:29" ht="12.75">
      <c r="A22" s="194" t="s">
        <v>61</v>
      </c>
      <c r="B22" s="195" t="s">
        <v>62</v>
      </c>
      <c r="C22" s="196" t="s">
        <v>62</v>
      </c>
      <c r="D22" s="143"/>
      <c r="E22" s="143"/>
      <c r="F22" s="197" t="s">
        <v>63</v>
      </c>
      <c r="G22" s="198" t="s">
        <v>64</v>
      </c>
      <c r="H22" s="143"/>
      <c r="I22" s="199" t="s">
        <v>65</v>
      </c>
      <c r="J22" s="199" t="s">
        <v>66</v>
      </c>
      <c r="K22" s="200" t="s">
        <v>67</v>
      </c>
      <c r="L22" s="200"/>
      <c r="M22" s="200"/>
      <c r="N22" s="200"/>
      <c r="O22" s="201"/>
      <c r="P22" s="202" t="s">
        <v>68</v>
      </c>
      <c r="Q22" s="203" t="s">
        <v>69</v>
      </c>
      <c r="R22" s="204" t="s">
        <v>70</v>
      </c>
      <c r="S22" s="205" t="s">
        <v>71</v>
      </c>
      <c r="T22" s="206" t="s">
        <v>72</v>
      </c>
      <c r="U22" s="207" t="s">
        <v>73</v>
      </c>
      <c r="V22" s="205" t="s">
        <v>74</v>
      </c>
      <c r="Y22" s="8" t="s">
        <v>75</v>
      </c>
      <c r="Z22" s="8" t="s">
        <v>76</v>
      </c>
      <c r="AA22" s="208" t="s">
        <v>77</v>
      </c>
      <c r="AB22" s="208" t="s">
        <v>78</v>
      </c>
      <c r="AC22" s="209" t="s">
        <v>79</v>
      </c>
    </row>
    <row r="23" spans="1:54" ht="12.75">
      <c r="A23" s="210" t="s">
        <v>80</v>
      </c>
      <c r="B23" s="211">
        <v>0.095</v>
      </c>
      <c r="C23" s="212">
        <v>3.86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Microspora sp.</v>
      </c>
      <c r="E23" s="213" t="e">
        <f>IF(D23="",,VLOOKUP(D23,D$22:D22,1,0))</f>
        <v>#N/A</v>
      </c>
      <c r="F23" s="214">
        <f aca="true" t="shared" si="1" ref="F23:F82">($B23*$B$7+$C23*$C$7)/100</f>
        <v>3.29525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Microspora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1132</v>
      </c>
      <c r="Q23" s="221">
        <f aca="true" t="shared" si="2" ref="Q23:Q82">IF(ISTEXT(H23),"",(B23*$B$7/100)+(C23*$C$7/100))</f>
        <v>3.29525</v>
      </c>
      <c r="R23" s="222">
        <f aca="true" t="shared" si="3" ref="R23:R82">IF(OR(ISTEXT(H23),Q23=0),"",IF(Q23&lt;0.1,1,IF(Q23&lt;1,2,IF(Q23&lt;10,3,IF(Q23&lt;50,4,IF(Q23&gt;=50,5,""))))))</f>
        <v>3</v>
      </c>
      <c r="S23" s="222">
        <f aca="true" t="shared" si="4" ref="S23:S82">IF(ISERROR(R23*I23),0,R23*I23)</f>
        <v>36</v>
      </c>
      <c r="T23" s="222">
        <f aca="true" t="shared" si="5" ref="T23:T82">IF(ISERROR(R23*I23*J23),0,R23*I23*J23)</f>
        <v>72</v>
      </c>
      <c r="U23" s="222">
        <f aca="true" t="shared" si="6" ref="U23:U82">IF(ISERROR(R23*J23),0,R23*J23)</f>
        <v>6</v>
      </c>
      <c r="V23" s="223">
        <f aca="true" t="shared" si="7" ref="V23:V82">IF(AND(A23="",F23=0),"",IF(F23=0,"Il manque le(s) % de rec. !",""))</f>
      </c>
      <c r="W23" s="224" t="s">
        <v>56</v>
      </c>
      <c r="Y23" s="225" t="str">
        <f>IF(A23="new.cod","NEWCOD",IF(AND((Z23=""),ISTEXT(A23)),A23,IF(Z23="","",INDEX('[1]liste reference'!$A$8:$A$904,Z23))))</f>
        <v>MICSPX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41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81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Oscillatoria sp.</v>
      </c>
      <c r="E24" s="231" t="e">
        <f>IF(D24="",,VLOOKUP(D24,D$22:D23,1,0))</f>
        <v>#N/A</v>
      </c>
      <c r="F24" s="232">
        <f t="shared" si="1"/>
        <v>0.0085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11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Oscillatoria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1108</v>
      </c>
      <c r="Q24" s="221">
        <f t="shared" si="2"/>
        <v>0.0085</v>
      </c>
      <c r="R24" s="222">
        <f t="shared" si="3"/>
        <v>1</v>
      </c>
      <c r="S24" s="222">
        <f t="shared" si="4"/>
        <v>11</v>
      </c>
      <c r="T24" s="222">
        <f t="shared" si="5"/>
        <v>11</v>
      </c>
      <c r="U24" s="234">
        <f t="shared" si="6"/>
        <v>1</v>
      </c>
      <c r="V24" s="223">
        <f t="shared" si="7"/>
      </c>
      <c r="W24" s="224" t="s">
        <v>56</v>
      </c>
      <c r="Y24" s="225" t="str">
        <f>IF(A24="new.cod","NEWCOD",IF(AND((Z24=""),ISTEXT(A24)),A24,IF(Z24="","",INDEX('[1]liste reference'!$A$8:$A$904,Z24))))</f>
        <v>OSCSPX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56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82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1"/>
        <v>0.0015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2"/>
        <v>0.0015</v>
      </c>
      <c r="R25" s="222">
        <f t="shared" si="3"/>
        <v>1</v>
      </c>
      <c r="S25" s="222">
        <f t="shared" si="4"/>
        <v>13</v>
      </c>
      <c r="T25" s="222">
        <f t="shared" si="5"/>
        <v>26</v>
      </c>
      <c r="U25" s="234">
        <f t="shared" si="6"/>
        <v>2</v>
      </c>
      <c r="V25" s="223">
        <f t="shared" si="7"/>
      </c>
      <c r="W25" s="224" t="s">
        <v>56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83</v>
      </c>
      <c r="B26" s="229">
        <v>0.01</v>
      </c>
      <c r="C26" s="230">
        <v>0.2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Tribonema sp.</v>
      </c>
      <c r="E26" s="231" t="e">
        <f>IF(D26="",,VLOOKUP(D26,D$22:D25,1,0))</f>
        <v>#N/A</v>
      </c>
      <c r="F26" s="232">
        <f t="shared" si="1"/>
        <v>0.17149999999999999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11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Tribonema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1167</v>
      </c>
      <c r="Q26" s="221">
        <f t="shared" si="2"/>
        <v>0.1715</v>
      </c>
      <c r="R26" s="222">
        <f t="shared" si="3"/>
        <v>2</v>
      </c>
      <c r="S26" s="222">
        <f t="shared" si="4"/>
        <v>22</v>
      </c>
      <c r="T26" s="222">
        <f t="shared" si="5"/>
        <v>44</v>
      </c>
      <c r="U26" s="234">
        <f t="shared" si="6"/>
        <v>4</v>
      </c>
      <c r="V26" s="223">
        <f t="shared" si="7"/>
      </c>
      <c r="W26" s="224" t="s">
        <v>56</v>
      </c>
      <c r="Y26" s="225" t="str">
        <f>IF(A26="new.cod","NEWCOD",IF(AND((Z26=""),ISTEXT(A26)),A26,IF(Z26="","",INDEX('[1]liste reference'!$A$8:$A$904,Z26))))</f>
        <v>TRISPX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80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84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Chiloscyphus polyanthos</v>
      </c>
      <c r="E27" s="231" t="e">
        <f>IF(D27="",,VLOOKUP(D27,D$22:D26,1,0))</f>
        <v>#N/A</v>
      </c>
      <c r="F27" s="232">
        <f t="shared" si="1"/>
        <v>0.0085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Chiloscyphus polyanthos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1186</v>
      </c>
      <c r="Q27" s="221">
        <f t="shared" si="2"/>
        <v>0.0085</v>
      </c>
      <c r="R27" s="222">
        <f t="shared" si="3"/>
        <v>1</v>
      </c>
      <c r="S27" s="222">
        <f t="shared" si="4"/>
        <v>15</v>
      </c>
      <c r="T27" s="222">
        <f t="shared" si="5"/>
        <v>30</v>
      </c>
      <c r="U27" s="234">
        <f t="shared" si="6"/>
        <v>2</v>
      </c>
      <c r="V27" s="223">
        <f t="shared" si="7"/>
      </c>
      <c r="W27" s="235" t="s">
        <v>56</v>
      </c>
      <c r="Y27" s="225" t="str">
        <f>IF(A27="new.cod","NEWCOD",IF(AND((Z27=""),ISTEXT(A27)),A27,IF(Z27="","",INDEX('[1]liste reference'!$A$8:$A$904,Z27))))</f>
        <v>CHIPOL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97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85</v>
      </c>
      <c r="B28" s="229">
        <v>0.01</v>
      </c>
      <c r="C28" s="230">
        <v>0.06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riparium</v>
      </c>
      <c r="E28" s="231" t="e">
        <f>IF(D28="",,VLOOKUP(D28,D$22:D27,1,0))</f>
        <v>#N/A</v>
      </c>
      <c r="F28" s="232">
        <f t="shared" si="1"/>
        <v>0.0525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riparium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1219</v>
      </c>
      <c r="Q28" s="221">
        <f t="shared" si="2"/>
        <v>0.0525</v>
      </c>
      <c r="R28" s="222">
        <f t="shared" si="3"/>
        <v>1</v>
      </c>
      <c r="S28" s="222">
        <f t="shared" si="4"/>
        <v>5</v>
      </c>
      <c r="T28" s="222">
        <f t="shared" si="5"/>
        <v>10</v>
      </c>
      <c r="U28" s="234">
        <f t="shared" si="6"/>
        <v>2</v>
      </c>
      <c r="V28" s="223">
        <f t="shared" si="7"/>
      </c>
      <c r="W28" s="224" t="s">
        <v>56</v>
      </c>
      <c r="Y28" s="225" t="str">
        <f>IF(A28="new.cod","NEWCOD",IF(AND((Z28=""),ISTEXT(A28)),A28,IF(Z28="","",INDEX('[1]liste reference'!$A$8:$A$904,Z28))))</f>
        <v>AMBRIP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148</v>
      </c>
      <c r="AA28" s="226"/>
      <c r="AB28" s="227"/>
      <c r="AC28" s="227"/>
      <c r="BB28" s="8">
        <f t="shared" si="8"/>
        <v>1</v>
      </c>
    </row>
    <row r="29" spans="1:54" ht="12.75">
      <c r="A29" s="228" t="s">
        <v>16</v>
      </c>
      <c r="B29" s="229">
        <v>70</v>
      </c>
      <c r="C29" s="230">
        <v>40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1"/>
        <v>44.5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2"/>
        <v>44.5</v>
      </c>
      <c r="R29" s="222">
        <f t="shared" si="3"/>
        <v>4</v>
      </c>
      <c r="S29" s="222">
        <f t="shared" si="4"/>
        <v>40</v>
      </c>
      <c r="T29" s="222">
        <f t="shared" si="5"/>
        <v>40</v>
      </c>
      <c r="U29" s="234">
        <f t="shared" si="6"/>
        <v>4</v>
      </c>
      <c r="V29" s="223">
        <f t="shared" si="7"/>
      </c>
      <c r="W29" s="224" t="s">
        <v>56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86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Equisetum sp.</v>
      </c>
      <c r="E30" s="231" t="e">
        <f>IF(D30="",,VLOOKUP(D30,D$22:D29,1,0))</f>
        <v>#N/A</v>
      </c>
      <c r="F30" s="232">
        <f t="shared" si="1"/>
        <v>0.0085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PTE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6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Equisetum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1383</v>
      </c>
      <c r="Q30" s="221">
        <f t="shared" si="2"/>
        <v>0.0085</v>
      </c>
      <c r="R30" s="222">
        <f t="shared" si="3"/>
        <v>1</v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56</v>
      </c>
      <c r="Y30" s="225" t="str">
        <f>IF(A30="new.cod","NEWCOD",IF(AND((Z30=""),ISTEXT(A30)),A30,IF(Z30="","",INDEX('[1]liste reference'!$A$8:$A$904,Z30))))</f>
        <v>EQUSPX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283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87</v>
      </c>
      <c r="B31" s="229">
        <v>0.02</v>
      </c>
      <c r="C31" s="230">
        <v>1.7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Callitriche hamulata</v>
      </c>
      <c r="E31" s="231" t="e">
        <f>IF(D31="",,VLOOKUP(D31,D$22:D30,1,0))</f>
        <v>#N/A</v>
      </c>
      <c r="F31" s="232">
        <f t="shared" si="1"/>
        <v>1.4480000000000002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Callitriche hamulata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1698</v>
      </c>
      <c r="Q31" s="221">
        <f t="shared" si="2"/>
        <v>1.448</v>
      </c>
      <c r="R31" s="222">
        <f t="shared" si="3"/>
        <v>3</v>
      </c>
      <c r="S31" s="222">
        <f t="shared" si="4"/>
        <v>36</v>
      </c>
      <c r="T31" s="222">
        <f t="shared" si="5"/>
        <v>36</v>
      </c>
      <c r="U31" s="234">
        <f t="shared" si="6"/>
        <v>3</v>
      </c>
      <c r="V31" s="223">
        <f t="shared" si="7"/>
      </c>
      <c r="W31" s="224" t="s">
        <v>56</v>
      </c>
      <c r="Y31" s="225" t="str">
        <f>IF(A31="new.cod","NEWCOD",IF(AND((Z31=""),ISTEXT(A31)),A31,IF(Z31="","",INDEX('[1]liste reference'!$A$8:$A$904,Z31))))</f>
        <v>CALHAM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316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88</v>
      </c>
      <c r="B32" s="229">
        <v>0.01</v>
      </c>
      <c r="C32" s="230">
        <v>0.7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Ranunculus flammula</v>
      </c>
      <c r="E32" s="231" t="e">
        <f>IF(D32="",,VLOOKUP(D32,D$22:D31,1,0))</f>
        <v>#N/A</v>
      </c>
      <c r="F32" s="232">
        <f t="shared" si="1"/>
        <v>0.5964999999999999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16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Ranunculus flammula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1902</v>
      </c>
      <c r="Q32" s="221">
        <f t="shared" si="2"/>
        <v>0.5964999999999999</v>
      </c>
      <c r="R32" s="222">
        <f t="shared" si="3"/>
        <v>2</v>
      </c>
      <c r="S32" s="222">
        <f t="shared" si="4"/>
        <v>32</v>
      </c>
      <c r="T32" s="222">
        <f t="shared" si="5"/>
        <v>96</v>
      </c>
      <c r="U32" s="234">
        <f t="shared" si="6"/>
        <v>6</v>
      </c>
      <c r="V32" s="223">
        <f t="shared" si="7"/>
      </c>
      <c r="W32" s="224" t="s">
        <v>56</v>
      </c>
      <c r="Y32" s="225" t="str">
        <f>IF(A32="new.cod","NEWCOD",IF(AND((Z32=""),ISTEXT(A32)),A32,IF(Z32="","",INDEX('[1]liste reference'!$A$8:$A$904,Z32))))</f>
        <v>RANFLA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455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89</v>
      </c>
      <c r="B33" s="229">
        <v>0.01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Alisma plantago-aquatica</v>
      </c>
      <c r="E33" s="231" t="e">
        <f>IF(D33="",,VLOOKUP(D33,D$22:D32,1,0))</f>
        <v>#N/A</v>
      </c>
      <c r="F33" s="232">
        <f t="shared" si="1"/>
        <v>0.01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8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Alisma plantago-aquatica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1447</v>
      </c>
      <c r="Q33" s="221">
        <f t="shared" si="2"/>
        <v>0.01</v>
      </c>
      <c r="R33" s="222">
        <f t="shared" si="3"/>
        <v>1</v>
      </c>
      <c r="S33" s="222">
        <f t="shared" si="4"/>
        <v>8</v>
      </c>
      <c r="T33" s="222">
        <f t="shared" si="5"/>
        <v>16</v>
      </c>
      <c r="U33" s="234">
        <f t="shared" si="6"/>
        <v>2</v>
      </c>
      <c r="V33" s="223">
        <f t="shared" si="7"/>
      </c>
      <c r="W33" s="224" t="s">
        <v>56</v>
      </c>
      <c r="Y33" s="225" t="str">
        <f>IF(A33="new.cod","NEWCOD",IF(AND((Z33=""),ISTEXT(A33)),A33,IF(Z33="","",INDEX('[1]liste reference'!$A$8:$A$904,Z33))))</f>
        <v>ALIPLA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517</v>
      </c>
      <c r="AA33" s="226"/>
      <c r="AB33" s="227"/>
      <c r="AC33" s="227"/>
      <c r="BB33" s="8">
        <f t="shared" si="8"/>
        <v>1</v>
      </c>
    </row>
    <row r="34" spans="1:54" ht="12.75">
      <c r="A34" s="228" t="s">
        <v>90</v>
      </c>
      <c r="B34" s="229">
        <v>0</v>
      </c>
      <c r="C34" s="230">
        <v>0.2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Carex sp.</v>
      </c>
      <c r="E34" s="231" t="e">
        <f>IF(D34="",,VLOOKUP(D34,D$22:D33,1,0))</f>
        <v>#N/A</v>
      </c>
      <c r="F34" s="236">
        <f t="shared" si="1"/>
        <v>0.17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Carex sp.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1466</v>
      </c>
      <c r="Q34" s="221">
        <f t="shared" si="2"/>
        <v>0.17</v>
      </c>
      <c r="R34" s="222">
        <f t="shared" si="3"/>
        <v>2</v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56</v>
      </c>
      <c r="Y34" s="225" t="str">
        <f>IF(A34="new.cod","NEWCOD",IF(AND((Z34=""),ISTEXT(A34)),A34,IF(Z34="","",INDEX('[1]liste reference'!$A$8:$A$904,Z34))))</f>
        <v>CARSPX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545</v>
      </c>
      <c r="AA34" s="226"/>
      <c r="AB34" s="227"/>
      <c r="AC34" s="227"/>
      <c r="BB34" s="8">
        <f t="shared" si="8"/>
        <v>1</v>
      </c>
    </row>
    <row r="35" spans="1:54" ht="12.75">
      <c r="A35" s="228" t="s">
        <v>91</v>
      </c>
      <c r="B35" s="229">
        <v>0</v>
      </c>
      <c r="C35" s="230">
        <v>0.5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Iris pseudacorus</v>
      </c>
      <c r="E35" s="231" t="e">
        <f>IF(D35="",,VLOOKUP(D35,D$22:D34,1,0))</f>
        <v>#N/A</v>
      </c>
      <c r="F35" s="236">
        <f t="shared" si="1"/>
        <v>0.425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Iris pseudacorus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1601</v>
      </c>
      <c r="Q35" s="221">
        <f t="shared" si="2"/>
        <v>0.425</v>
      </c>
      <c r="R35" s="222">
        <f t="shared" si="3"/>
        <v>2</v>
      </c>
      <c r="S35" s="222">
        <f t="shared" si="4"/>
        <v>20</v>
      </c>
      <c r="T35" s="222">
        <f t="shared" si="5"/>
        <v>20</v>
      </c>
      <c r="U35" s="234">
        <f t="shared" si="6"/>
        <v>2</v>
      </c>
      <c r="V35" s="223">
        <f t="shared" si="7"/>
      </c>
      <c r="W35" s="224" t="s">
        <v>56</v>
      </c>
      <c r="Y35" s="225" t="str">
        <f>IF(A35="new.cod","NEWCOD",IF(AND((Z35=""),ISTEXT(A35)),A35,IF(Z35="","",INDEX('[1]liste reference'!$A$8:$A$904,Z35))))</f>
        <v>IRIPSE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582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92</v>
      </c>
      <c r="B36" s="229">
        <v>0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Juncus conglomeratus</v>
      </c>
      <c r="E36" s="231" t="e">
        <f>IF(D36="",,VLOOKUP(D36,D$22:D35,1,0))</f>
        <v>#N/A</v>
      </c>
      <c r="F36" s="236">
        <f t="shared" si="1"/>
        <v>0.0085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Juncus conglomeratus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1612</v>
      </c>
      <c r="Q36" s="221">
        <f t="shared" si="2"/>
        <v>0.0085</v>
      </c>
      <c r="R36" s="222">
        <f t="shared" si="3"/>
        <v>1</v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56</v>
      </c>
      <c r="Y36" s="225" t="str">
        <f>IF(A36="new.cod","NEWCOD",IF(AND((Z36=""),ISTEXT(A36)),A36,IF(Z36="","",INDEX('[1]liste reference'!$A$8:$A$904,Z36))))</f>
        <v>JUNCON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585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93</v>
      </c>
      <c r="B37" s="229">
        <v>0</v>
      </c>
      <c r="C37" s="230">
        <v>0.01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Lysimachia nummularia</v>
      </c>
      <c r="E37" s="231" t="e">
        <f>IF(D37="",,VLOOKUP(D37,D$22:D36,1,0))</f>
        <v>#N/A</v>
      </c>
      <c r="F37" s="236">
        <f t="shared" si="1"/>
        <v>0.0085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Lysimachia nummularia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1885</v>
      </c>
      <c r="Q37" s="221">
        <f t="shared" si="2"/>
        <v>0.0085</v>
      </c>
      <c r="R37" s="222">
        <f t="shared" si="3"/>
        <v>1</v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56</v>
      </c>
      <c r="Y37" s="225" t="str">
        <f>IF(A37="new.cod","NEWCOD",IF(AND((Z37=""),ISTEXT(A37)),A37,IF(Z37="","",INDEX('[1]liste reference'!$A$8:$A$904,Z37))))</f>
        <v>LYSNUM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598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94</v>
      </c>
      <c r="B38" s="229">
        <v>0</v>
      </c>
      <c r="C38" s="230">
        <v>0.01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Nasturtium officinale</v>
      </c>
      <c r="E38" s="231" t="e">
        <f>IF(D38="",,VLOOKUP(D38,D$22:D37,1,0))</f>
        <v>#N/A</v>
      </c>
      <c r="F38" s="236">
        <f t="shared" si="1"/>
        <v>0.0085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11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Nasturtium officinale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1763</v>
      </c>
      <c r="Q38" s="221">
        <f t="shared" si="2"/>
        <v>0.0085</v>
      </c>
      <c r="R38" s="222">
        <f t="shared" si="3"/>
        <v>1</v>
      </c>
      <c r="S38" s="222">
        <f t="shared" si="4"/>
        <v>11</v>
      </c>
      <c r="T38" s="222">
        <f t="shared" si="5"/>
        <v>11</v>
      </c>
      <c r="U38" s="234">
        <f t="shared" si="6"/>
        <v>1</v>
      </c>
      <c r="V38" s="223">
        <f t="shared" si="7"/>
      </c>
      <c r="W38" s="224" t="s">
        <v>56</v>
      </c>
      <c r="Y38" s="225" t="str">
        <f>IF(A38="new.cod","NEWCOD",IF(AND((Z38=""),ISTEXT(A38)),A38,IF(Z38="","",INDEX('[1]liste reference'!$A$8:$A$904,Z38))))</f>
        <v>NASOFF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628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95</v>
      </c>
      <c r="B39" s="229">
        <v>0</v>
      </c>
      <c r="C39" s="230">
        <v>0.1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Rorippa amphibia</v>
      </c>
      <c r="E39" s="231" t="e">
        <f>IF(D39="",,VLOOKUP(D39,D$22:D38,1,0))</f>
        <v>#N/A</v>
      </c>
      <c r="F39" s="236">
        <f t="shared" si="1"/>
        <v>0.085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9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1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Rorippa amphibia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1765</v>
      </c>
      <c r="Q39" s="221">
        <f t="shared" si="2"/>
        <v>0.085</v>
      </c>
      <c r="R39" s="222">
        <f t="shared" si="3"/>
        <v>1</v>
      </c>
      <c r="S39" s="222">
        <f t="shared" si="4"/>
        <v>9</v>
      </c>
      <c r="T39" s="222">
        <f t="shared" si="5"/>
        <v>9</v>
      </c>
      <c r="U39" s="234">
        <f t="shared" si="6"/>
        <v>1</v>
      </c>
      <c r="V39" s="223">
        <f t="shared" si="7"/>
      </c>
      <c r="W39" s="224" t="s">
        <v>56</v>
      </c>
      <c r="Y39" s="225" t="str">
        <f>IF(A39="new.cod","NEWCOD",IF(AND((Z39=""),ISTEXT(A39)),A39,IF(Z39="","",INDEX('[1]liste reference'!$A$8:$A$904,Z39))))</f>
        <v>RORAMP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645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96</v>
      </c>
      <c r="B40" s="229">
        <v>0.01</v>
      </c>
      <c r="C40" s="230">
        <v>0.01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Sparganium erectum</v>
      </c>
      <c r="E40" s="231" t="e">
        <f>IF(D40="",,VLOOKUP(D40,D$22:D39,1,0))</f>
        <v>#N/A</v>
      </c>
      <c r="F40" s="236">
        <f t="shared" si="1"/>
        <v>0.01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Sparganium erectum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1671</v>
      </c>
      <c r="Q40" s="221">
        <f t="shared" si="2"/>
        <v>0.01</v>
      </c>
      <c r="R40" s="222">
        <f t="shared" si="3"/>
        <v>1</v>
      </c>
      <c r="S40" s="222">
        <f t="shared" si="4"/>
        <v>10</v>
      </c>
      <c r="T40" s="222">
        <f t="shared" si="5"/>
        <v>10</v>
      </c>
      <c r="U40" s="234">
        <f t="shared" si="6"/>
        <v>1</v>
      </c>
      <c r="V40" s="223">
        <f t="shared" si="7"/>
      </c>
      <c r="W40" s="224" t="s">
        <v>56</v>
      </c>
      <c r="Y40" s="225" t="str">
        <f>IF(A40="new.cod","NEWCOD",IF(AND((Z40=""),ISTEXT(A40)),A40,IF(Z40="","",INDEX('[1]liste reference'!$A$8:$A$904,Z40))))</f>
        <v>SPAERE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668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97</v>
      </c>
      <c r="B41" s="229">
        <v>0</v>
      </c>
      <c r="C41" s="230">
        <v>0.01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Veronica anagallis-aquatica</v>
      </c>
      <c r="E41" s="231" t="e">
        <f>IF(D41="",,VLOOKUP(D41,D$22:D40,1,0))</f>
        <v>#N/A</v>
      </c>
      <c r="F41" s="236">
        <f t="shared" si="1"/>
        <v>0.0085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11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Veronica anagallis-aquatica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1955</v>
      </c>
      <c r="Q41" s="221">
        <f t="shared" si="2"/>
        <v>0.0085</v>
      </c>
      <c r="R41" s="222">
        <f t="shared" si="3"/>
        <v>1</v>
      </c>
      <c r="S41" s="222">
        <f t="shared" si="4"/>
        <v>11</v>
      </c>
      <c r="T41" s="222">
        <f t="shared" si="5"/>
        <v>22</v>
      </c>
      <c r="U41" s="234">
        <f t="shared" si="6"/>
        <v>2</v>
      </c>
      <c r="V41" s="223">
        <f t="shared" si="7"/>
      </c>
      <c r="W41" s="224" t="s">
        <v>56</v>
      </c>
      <c r="Y41" s="225" t="str">
        <f>IF(A41="new.cod","NEWCOD",IF(AND((Z41=""),ISTEXT(A41)),A41,IF(Z41="","",INDEX('[1]liste reference'!$A$8:$A$904,Z41))))</f>
        <v>VERANA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682</v>
      </c>
      <c r="AA41" s="226"/>
      <c r="AB41" s="227"/>
      <c r="AC41" s="227"/>
      <c r="BB41" s="8">
        <f t="shared" si="8"/>
        <v>1</v>
      </c>
    </row>
    <row r="42" spans="1:54" ht="12.75">
      <c r="A42" s="228" t="s">
        <v>98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Galium sp.</v>
      </c>
      <c r="E42" s="231" t="e">
        <f>IF(D42="",,VLOOKUP(D42,D$22:D41,1,0))</f>
        <v>#N/A</v>
      </c>
      <c r="F42" s="236">
        <f t="shared" si="1"/>
        <v>0.0085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PHg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9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Galium sp.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1926</v>
      </c>
      <c r="Q42" s="221">
        <f t="shared" si="2"/>
        <v>0.0085</v>
      </c>
      <c r="R42" s="222">
        <f t="shared" si="3"/>
        <v>1</v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56</v>
      </c>
      <c r="Y42" s="225" t="str">
        <f>IF(A42="new.cod","NEWCOD",IF(AND((Z42=""),ISTEXT(A42)),A42,IF(Z42="","",INDEX('[1]liste reference'!$A$8:$A$904,Z42))))</f>
        <v>GALSPX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754</v>
      </c>
      <c r="AA42" s="226"/>
      <c r="AB42" s="227"/>
      <c r="AC42" s="227"/>
      <c r="BB42" s="8">
        <f t="shared" si="8"/>
        <v>1</v>
      </c>
    </row>
    <row r="43" spans="1:54" ht="12.75">
      <c r="A43" s="228" t="s">
        <v>99</v>
      </c>
      <c r="B43" s="229">
        <v>0</v>
      </c>
      <c r="C43" s="230">
        <v>0.8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Solanum dulcamara</v>
      </c>
      <c r="E43" s="231" t="e">
        <f>IF(D43="",,VLOOKUP(D43,D$22:D42,1,0))</f>
        <v>#N/A</v>
      </c>
      <c r="F43" s="236">
        <f t="shared" si="1"/>
        <v>0.68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PHg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9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Solanum dulcamara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1964</v>
      </c>
      <c r="Q43" s="221">
        <f t="shared" si="2"/>
        <v>0.68</v>
      </c>
      <c r="R43" s="222">
        <f t="shared" si="3"/>
        <v>2</v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56</v>
      </c>
      <c r="Y43" s="225" t="str">
        <f>IF(A43="new.cod","NEWCOD",IF(AND((Z43=""),ISTEXT(A43)),A43,IF(Z43="","",INDEX('[1]liste reference'!$A$8:$A$904,Z43))))</f>
        <v>SOADUL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824</v>
      </c>
      <c r="AA43" s="226"/>
      <c r="AB43" s="227"/>
      <c r="AC43" s="227"/>
      <c r="BB43" s="8">
        <f t="shared" si="8"/>
        <v>1</v>
      </c>
    </row>
    <row r="44" spans="1:54" ht="12.75">
      <c r="A44" s="228" t="s">
        <v>100</v>
      </c>
      <c r="B44" s="229">
        <v>0</v>
      </c>
      <c r="C44" s="230">
        <v>0.01</v>
      </c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0.0085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    -</v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Polygonum persicaria</v>
      </c>
      <c r="L44" s="233"/>
      <c r="M44" s="233"/>
      <c r="N44" s="233"/>
      <c r="O44" s="220"/>
      <c r="P44" s="220" t="str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No</v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56</v>
      </c>
      <c r="Y44" s="225" t="str">
        <f>IF(A44="new.cod","NEWCOD",IF(AND((Z44=""),ISTEXT(A44)),A44,IF(Z44="","",INDEX('[1]liste reference'!$A$8:$A$904,Z44))))</f>
        <v>newcod</v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 t="s">
        <v>101</v>
      </c>
      <c r="AC44" s="227"/>
      <c r="BB44" s="8">
        <f t="shared" si="8"/>
        <v>1</v>
      </c>
    </row>
    <row r="45" spans="1:54" ht="12.75">
      <c r="A45" s="228" t="s">
        <v>56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56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56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56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56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56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56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56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56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56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56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56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56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56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56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56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56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56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56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56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56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56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56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56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56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56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56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56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56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56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56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56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56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56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56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56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56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56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56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56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56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56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56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56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56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56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56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56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56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56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56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56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56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56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56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56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56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56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56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56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56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56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56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56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56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56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56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56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56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56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56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56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56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56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56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56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102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Durlande</v>
      </c>
      <c r="B84" s="265" t="str">
        <f>C3</f>
        <v>Durlande à St Etienne du Bois</v>
      </c>
      <c r="C84" s="266">
        <f>A4</f>
        <v>41445</v>
      </c>
      <c r="D84" s="267">
        <f>IF(ISERROR(SUM($T$23:$T$82)/SUM($U$23:$U$82)),"",SUM($T$23:$T$82)/SUM($U$23:$U$82))</f>
        <v>11.615384615384615</v>
      </c>
      <c r="E84" s="268">
        <f>N13</f>
        <v>22</v>
      </c>
      <c r="F84" s="265">
        <f>N14</f>
        <v>15</v>
      </c>
      <c r="G84" s="265">
        <f>N15</f>
        <v>7</v>
      </c>
      <c r="H84" s="265">
        <f>N16</f>
        <v>7</v>
      </c>
      <c r="I84" s="265">
        <f>N17</f>
        <v>1</v>
      </c>
      <c r="J84" s="269">
        <f>N8</f>
        <v>10.933333333333334</v>
      </c>
      <c r="K84" s="267">
        <f>N9</f>
        <v>2.5681813712344295</v>
      </c>
      <c r="L84" s="268">
        <f>N10</f>
        <v>5</v>
      </c>
      <c r="M84" s="268">
        <f>N11</f>
        <v>16</v>
      </c>
      <c r="N84" s="267">
        <f>O8</f>
        <v>1.6</v>
      </c>
      <c r="O84" s="267">
        <f>O9</f>
        <v>0.6110100926607787</v>
      </c>
      <c r="P84" s="268">
        <f>O10</f>
        <v>1</v>
      </c>
      <c r="Q84" s="268">
        <f>O11</f>
        <v>3</v>
      </c>
      <c r="R84" s="268">
        <f>F21</f>
        <v>51.52175</v>
      </c>
      <c r="S84" s="268">
        <f>K11</f>
        <v>0</v>
      </c>
      <c r="T84" s="268">
        <f>K12</f>
        <v>4</v>
      </c>
      <c r="U84" s="268">
        <f>K13</f>
        <v>3</v>
      </c>
      <c r="V84" s="270">
        <f>K14</f>
        <v>1</v>
      </c>
      <c r="W84" s="271">
        <f>K15</f>
        <v>13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103</v>
      </c>
      <c r="R86" s="8"/>
      <c r="S86" s="223"/>
      <c r="T86" s="8"/>
      <c r="U86" s="8"/>
      <c r="V86" s="8"/>
    </row>
    <row r="87" spans="16:22" ht="12.75" hidden="1">
      <c r="P87" s="8"/>
      <c r="Q87" s="8" t="s">
        <v>104</v>
      </c>
      <c r="R87" s="8"/>
      <c r="S87" s="22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105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106</v>
      </c>
      <c r="R89" s="8"/>
      <c r="S89" s="223">
        <f>VLOOKUP((S87),($S$23:$U$82),3,0)</f>
        <v>4</v>
      </c>
      <c r="T89" s="8"/>
    </row>
    <row r="90" spans="17:20" ht="12.75">
      <c r="Q90" s="8" t="s">
        <v>107</v>
      </c>
      <c r="R90" s="8"/>
      <c r="S90" s="274">
        <f>IF(ISERROR(SUM($T$23:$T$82)/SUM($U$23:$U$82)),"",(SUM($T$23:$T$82)-S88)/(SUM($U$23:$U$82)-S89))</f>
        <v>11.8</v>
      </c>
      <c r="T90" s="8"/>
    </row>
    <row r="91" spans="17:21" ht="12.75">
      <c r="Q91" s="222" t="s">
        <v>108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109</v>
      </c>
      <c r="R92" s="8"/>
      <c r="S92" s="8">
        <f>MATCH(S87,$S$23:$S$82,0)</f>
        <v>7</v>
      </c>
      <c r="T92" s="8"/>
    </row>
    <row r="93" spans="17:20" ht="12.75">
      <c r="Q93" s="222" t="s">
        <v>110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2014-03-07T15:37:32Z</dcterms:created>
  <dcterms:modified xsi:type="dcterms:W3CDTF">2014-03-07T15:37:38Z</dcterms:modified>
  <cp:category/>
  <cp:version/>
  <cp:contentType/>
  <cp:contentStatus/>
</cp:coreProperties>
</file>