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<sst xmlns="http://schemas.openxmlformats.org/spreadsheetml/2006/main" count="219" uniqueCount="96">
  <si>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</si>
  <si>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</si>
  <si>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</si>
  <si>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</si>
  <si>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</si>
  <si>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Valserine</t>
  </si>
  <si>
    <t>Valserine à Montanges</t>
  </si>
  <si>
    <t>06580130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</si>
  <si>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</si>
  <si>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</si>
  <si>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</si>
  <si>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</si>
  <si>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</si>
  <si>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</si>
  <si>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</si>
  <si>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</si>
  <si>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</si>
  <si>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</si>
  <si>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plat courant</t>
  </si>
  <si>
    <t>plat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</si>
  <si>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</si>
  <si>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</si>
  <si>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</si>
  <si>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</si>
  <si>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</si>
  <si>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</si>
  <si>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</si>
  <si>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</si>
  <si>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</si>
  <si>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</si>
  <si>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</si>
  <si>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</si>
  <si>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</si>
  <si>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</si>
  <si>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</si>
  <si>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</si>
  <si>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</si>
  <si>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</si>
  <si>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</si>
  <si>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</si>
  <si>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</si>
  <si>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</si>
  <si>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</si>
  <si>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</si>
  <si>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</si>
  <si>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</si>
  <si>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</si>
  <si>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</si>
  <si>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</si>
  <si>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</si>
  <si>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</si>
  <si>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</si>
  <si>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</si>
  <si>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</si>
  <si>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</si>
  <si>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</si>
  <si>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</si>
  <si>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</si>
  <si>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</si>
  <si>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</si>
  <si>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</si>
  <si>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</si>
  <si>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</si>
  <si>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</si>
  <si>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</si>
  <si>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</si>
  <si>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</si>
  <si>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</si>
  <si>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</si>
  <si>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</si>
  <si>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</si>
  <si>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</si>
  <si>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</si>
  <si>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</si>
  <si>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</si>
  <si>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</si>
  <si>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</si>
  <si>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</si>
  <si>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</si>
  <si>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</si>
  <si>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</si>
  <si>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PHOSPX</t>
  </si>
  <si>
    <t>VAUSPX</t>
  </si>
  <si>
    <t>PELEND</t>
  </si>
  <si>
    <t>CINAQU</t>
  </si>
  <si>
    <t>CRACOM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</si>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</sst>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ALMO_16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30" sqref="A3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13.090909090909092</v>
      </c>
      <c r="M5" s="52"/>
      <c r="N5" s="53" t="s">
        <v>16</v>
      </c>
      <c r="O5" s="54">
        <v>13.125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93</v>
      </c>
      <c r="C7" s="66">
        <v>7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11.625</v>
      </c>
      <c r="O8" s="84">
        <f>IF(ISERROR(AVERAGE(J23:J82)),"      -",AVERAGE(J23:J82))</f>
        <v>1.625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6.16</v>
      </c>
      <c r="C9" s="87">
        <v>5.01</v>
      </c>
      <c r="D9" s="88"/>
      <c r="E9" s="88"/>
      <c r="F9" s="89">
        <f>($B9*$B$7+$C9*$C$7)/100</f>
        <v>6.0795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3.998046397929869</v>
      </c>
      <c r="O9" s="84">
        <f>IF(ISERROR(STDEVP(J23:J82)),"      -",STDEVP(J23:J82))</f>
        <v>0.4841229182759271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0.05</v>
      </c>
      <c r="C12" s="120">
        <v>0.01</v>
      </c>
      <c r="D12" s="111"/>
      <c r="E12" s="111"/>
      <c r="F12" s="112">
        <f>($B12*$B$7+$C12*$C$7)/100</f>
        <v>0.047200000000000006</v>
      </c>
      <c r="G12" s="121"/>
      <c r="H12" s="67"/>
      <c r="I12" s="122" t="s">
        <v>39</v>
      </c>
      <c r="J12" s="123"/>
      <c r="K12" s="116">
        <f>COUNTIF($G$23:$G$82,"=ALG")</f>
        <v>4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6.11</v>
      </c>
      <c r="C13" s="120">
        <v>5</v>
      </c>
      <c r="D13" s="111"/>
      <c r="E13" s="111"/>
      <c r="F13" s="112">
        <f>($B13*$B$7+$C13*$C$7)/100</f>
        <v>6.0323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5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6.16</v>
      </c>
      <c r="C17" s="120">
        <v>5.01</v>
      </c>
      <c r="D17" s="111"/>
      <c r="E17" s="111"/>
      <c r="F17" s="147"/>
      <c r="G17" s="112">
        <f>($B17*$B$7+$C17*$C$7)/100</f>
        <v>6.0795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6.0795</v>
      </c>
      <c r="G19" s="161">
        <f>SUM(G16:G18)</f>
        <v>6.0795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6.159999999999999</v>
      </c>
      <c r="C20" s="171">
        <f>SUM(C23:C82)</f>
        <v>5.01</v>
      </c>
      <c r="D20" s="172"/>
      <c r="E20" s="173" t="s">
        <v>54</v>
      </c>
      <c r="F20" s="174">
        <f>($B20*$B$7+$C20*$C$7)/100</f>
        <v>6.0794999999999995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5.728799999999999</v>
      </c>
      <c r="C21" s="184">
        <f>C20*C7/100</f>
        <v>0.3507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6.079499999999999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0.010000000000000002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1" t="e">
        <f>IF(D24="",,VLOOKUP(D24,D$22:D23,1,0))</f>
        <v>#N/A</v>
      </c>
      <c r="F24" s="232">
        <f t="shared" si="0"/>
        <v>0.009300000000000001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1"/>
        <v>0.009300000000000001</v>
      </c>
      <c r="R24" s="222">
        <f t="shared" si="2"/>
        <v>1</v>
      </c>
      <c r="S24" s="222">
        <f t="shared" si="3"/>
        <v>15</v>
      </c>
      <c r="T24" s="222">
        <f t="shared" si="4"/>
        <v>30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0.009300000000000001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0.009300000000000001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0.02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31" t="e">
        <f>IF(D26="",,VLOOKUP(D26,D$22:D25,1,0))</f>
        <v>#N/A</v>
      </c>
      <c r="F26" s="232">
        <f t="shared" si="0"/>
        <v>0.018600000000000002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21">
        <f t="shared" si="1"/>
        <v>0.018600000000000002</v>
      </c>
      <c r="R26" s="222">
        <f t="shared" si="2"/>
        <v>1</v>
      </c>
      <c r="S26" s="222">
        <f t="shared" si="3"/>
        <v>4</v>
      </c>
      <c r="T26" s="222">
        <f t="shared" si="4"/>
        <v>4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0.01</v>
      </c>
      <c r="C27" s="230">
        <v>1.5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Pellia endiviifolia</v>
      </c>
      <c r="E27" s="231" t="e">
        <f>IF(D27="",,VLOOKUP(D27,D$22:D26,1,0))</f>
        <v>#N/A</v>
      </c>
      <c r="F27" s="232">
        <f t="shared" si="0"/>
        <v>0.1143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Pellia endiviifolia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1197</v>
      </c>
      <c r="Q27" s="221">
        <f t="shared" si="1"/>
        <v>0.1143</v>
      </c>
      <c r="R27" s="222">
        <f t="shared" si="2"/>
        <v>2</v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PELEND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120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0.7</v>
      </c>
      <c r="C28" s="230">
        <v>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aquaticus</v>
      </c>
      <c r="E28" s="231" t="e">
        <f>IF(D28="",,VLOOKUP(D28,D$22:D27,1,0))</f>
        <v>#N/A</v>
      </c>
      <c r="F28" s="232">
        <f t="shared" si="0"/>
        <v>0.721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aquaticus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1318</v>
      </c>
      <c r="Q28" s="221">
        <f t="shared" si="1"/>
        <v>0.7209999999999999</v>
      </c>
      <c r="R28" s="222">
        <f t="shared" si="2"/>
        <v>2</v>
      </c>
      <c r="S28" s="222">
        <f t="shared" si="3"/>
        <v>30</v>
      </c>
      <c r="T28" s="222">
        <f t="shared" si="4"/>
        <v>60</v>
      </c>
      <c r="U28" s="234">
        <f t="shared" si="5"/>
        <v>4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CINAQU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4</v>
      </c>
      <c r="C29" s="230">
        <v>2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riparius</v>
      </c>
      <c r="E29" s="231" t="e">
        <f>IF(D29="",,VLOOKUP(D29,D$22:D28,1,0))</f>
        <v>#N/A</v>
      </c>
      <c r="F29" s="232">
        <f t="shared" si="0"/>
        <v>3.86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riparius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1321</v>
      </c>
      <c r="Q29" s="221">
        <f t="shared" si="1"/>
        <v>3.8600000000000003</v>
      </c>
      <c r="R29" s="222">
        <f t="shared" si="2"/>
        <v>3</v>
      </c>
      <c r="S29" s="222">
        <f t="shared" si="3"/>
        <v>39</v>
      </c>
      <c r="T29" s="222">
        <f t="shared" si="4"/>
        <v>78</v>
      </c>
      <c r="U29" s="234">
        <f t="shared" si="5"/>
        <v>6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CINRIP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174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0.8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Cratoneuron commutatum</v>
      </c>
      <c r="E30" s="231" t="e">
        <f>IF(D30="",,VLOOKUP(D30,D$22:D29,1,0))</f>
        <v>#N/A</v>
      </c>
      <c r="F30" s="232">
        <f t="shared" si="0"/>
        <v>0.7440000000000001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Cratoneuron commutatum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1232</v>
      </c>
      <c r="Q30" s="221">
        <f t="shared" si="1"/>
        <v>0.7440000000000001</v>
      </c>
      <c r="R30" s="222">
        <f t="shared" si="2"/>
        <v>2</v>
      </c>
      <c r="S30" s="222">
        <f t="shared" si="3"/>
        <v>30</v>
      </c>
      <c r="T30" s="222">
        <f t="shared" si="4"/>
        <v>60</v>
      </c>
      <c r="U30" s="234">
        <f t="shared" si="5"/>
        <v>4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CRACOM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177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0.6</v>
      </c>
      <c r="C31" s="230">
        <v>0.5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Rhynchostegium riparioides</v>
      </c>
      <c r="E31" s="231" t="e">
        <f>IF(D31="",,VLOOKUP(D31,D$22:D30,1,0))</f>
        <v>#N/A</v>
      </c>
      <c r="F31" s="232">
        <f t="shared" si="0"/>
        <v>0.593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Rhynchostegium riparioides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21">
        <f t="shared" si="1"/>
        <v>0.593</v>
      </c>
      <c r="R31" s="222">
        <f t="shared" si="2"/>
        <v>2</v>
      </c>
      <c r="S31" s="222">
        <f t="shared" si="3"/>
        <v>24</v>
      </c>
      <c r="T31" s="222">
        <f t="shared" si="4"/>
        <v>24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RHYRIP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252</v>
      </c>
      <c r="AA31" s="226"/>
      <c r="AB31" s="227"/>
      <c r="AC31" s="227"/>
      <c r="BB31" s="8">
        <f t="shared" si="7"/>
        <v>1</v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Valserine</v>
      </c>
      <c r="B84" s="265" t="str">
        <f>C3</f>
        <v>Valserine à Montanges</v>
      </c>
      <c r="C84" s="266">
        <f>A4</f>
        <v>41898</v>
      </c>
      <c r="D84" s="267">
        <f>IF(ISERROR(SUM($T$23:$T$82)/SUM($U$23:$U$82)),"",SUM($T$23:$T$82)/SUM($U$23:$U$82))</f>
        <v>13.090909090909092</v>
      </c>
      <c r="E84" s="268">
        <f>N13</f>
        <v>9</v>
      </c>
      <c r="F84" s="265">
        <f>N14</f>
        <v>8</v>
      </c>
      <c r="G84" s="265">
        <f>N15</f>
        <v>3</v>
      </c>
      <c r="H84" s="265">
        <f>N16</f>
        <v>5</v>
      </c>
      <c r="I84" s="265">
        <f>N17</f>
        <v>0</v>
      </c>
      <c r="J84" s="269">
        <f>N8</f>
        <v>11.625</v>
      </c>
      <c r="K84" s="267">
        <f>N9</f>
        <v>3.998046397929869</v>
      </c>
      <c r="L84" s="268">
        <f>N10</f>
        <v>4</v>
      </c>
      <c r="M84" s="268">
        <f>N11</f>
        <v>15</v>
      </c>
      <c r="N84" s="267">
        <f>O8</f>
        <v>1.625</v>
      </c>
      <c r="O84" s="267">
        <f>O9</f>
        <v>0.4841229182759271</v>
      </c>
      <c r="P84" s="268">
        <f>O10</f>
        <v>1</v>
      </c>
      <c r="Q84" s="268">
        <f>O11</f>
        <v>2</v>
      </c>
      <c r="R84" s="268">
        <f>F21</f>
        <v>6.079499999999999</v>
      </c>
      <c r="S84" s="268">
        <f>K11</f>
        <v>0</v>
      </c>
      <c r="T84" s="268">
        <f>K12</f>
        <v>4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78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6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13.125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63"/>
    </row>
    <row r="92" spans="17:20" ht="12.75">
      <c r="Q92" s="8" t="s">
        <v>94</v>
      </c>
      <c r="R92" s="8"/>
      <c r="S92" s="8">
        <f>MATCH(S87,$S$23:$S$82,0)</f>
        <v>7</v>
      </c>
      <c r="T92" s="8"/>
    </row>
    <row r="93" spans="17:20" ht="12.75">
      <c r="Q93" s="222" t="s">
        <v>95</v>
      </c>
      <c r="R93" s="8"/>
      <c r="S93" s="222" t="str">
        <f>INDEX($A$23:$A$82,$S$92)</f>
        <v>CINRIP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2015-04-23T09:57:34Z</dcterms:created>
  <dcterms:modified xsi:type="dcterms:W3CDTF">2015-04-23T09:57:42Z</dcterms:modified>
  <cp:category/>
  <cp:version/>
  <cp:contentType/>
  <cp:contentStatus/>
</cp:coreProperties>
</file>