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<sst xmlns="http://schemas.openxmlformats.org/spreadsheetml/2006/main" count="218" uniqueCount="111">
  <si>
    <t>Relevés floristiques aquatiques - IBMR</t>
  </si>
  <si>
    <t>modèle Irstea-GIS</t>
  </si>
  <si>
    <t>SAGE</t>
  </si>
  <si>
    <t>P.BELLY S.RENAHY</t>
  </si>
  <si>
    <t>VERNAISSON</t>
  </si>
  <si>
    <t>VERNAISSON A ST MARTIN EN VERCORS 2</t>
  </si>
  <si>
    <t>06580362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</si>
  <si>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</si>
  <si>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</si>
  <si>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</si>
  <si>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</si>
  <si>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</si>
  <si>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</si>
  <si>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</si>
  <si>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</si>
  <si>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</si>
  <si>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BRARIV</t>
  </si>
  <si>
    <t>Faciès dominant</t>
  </si>
  <si>
    <t>pl. courant</t>
  </si>
  <si>
    <t>pl. lent</t>
  </si>
  <si>
    <t>niveau trophique</t>
  </si>
  <si>
    <t>faible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</si>
  <si>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</si>
  <si>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</si>
  <si>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</si>
  <si>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</si>
  <si>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</si>
  <si>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</si>
  <si>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</si>
  <si>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</si>
  <si>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</si>
  <si>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</si>
  <si>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</si>
  <si>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</si>
  <si>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</si>
  <si>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</si>
  <si>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</si>
  <si>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</si>
  <si>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</si>
  <si>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</si>
  <si>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</si>
  <si>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</si>
  <si>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</si>
  <si>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</si>
  <si>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</si>
  <si>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</si>
  <si>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</si>
  <si>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</si>
  <si>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</si>
  <si>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</si>
  <si>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</si>
  <si>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</si>
  <si>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</si>
  <si>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</si>
  <si>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</si>
  <si>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</si>
  <si>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</si>
  <si>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</si>
  <si>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</si>
  <si>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</si>
  <si>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</si>
  <si>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</si>
  <si>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</si>
  <si>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</si>
  <si>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</si>
  <si>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</si>
  <si>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</si>
  <si>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</si>
  <si>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</si>
  <si>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</si>
  <si>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</si>
  <si>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</si>
  <si>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</si>
  <si>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</si>
  <si>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</si>
  <si>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</si>
  <si>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</si>
  <si>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</si>
  <si>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</si>
  <si>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</si>
  <si>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</si>
  <si>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>BATSPX</t>
  </si>
  <si>
    <t xml:space="preserve"> -</t>
  </si>
  <si>
    <t>CLASPX</t>
  </si>
  <si>
    <t>MELSPX</t>
  </si>
  <si>
    <t>MICSPX</t>
  </si>
  <si>
    <t>NOSSPX</t>
  </si>
  <si>
    <t>PHOSPX</t>
  </si>
  <si>
    <t>TRISPX</t>
  </si>
  <si>
    <t>ULOSPX</t>
  </si>
  <si>
    <t>VAUSPX</t>
  </si>
  <si>
    <t>PELEND</t>
  </si>
  <si>
    <t>CINAQU</t>
  </si>
  <si>
    <t>CINRIP</t>
  </si>
  <si>
    <t>FISCRA</t>
  </si>
  <si>
    <t>FONANT</t>
  </si>
  <si>
    <t>HYATEN</t>
  </si>
  <si>
    <t>LEORIP</t>
  </si>
  <si>
    <t>PALCOM</t>
  </si>
  <si>
    <t>RHYRIP</t>
  </si>
  <si>
    <t>MENSPX</t>
  </si>
  <si>
    <t>newcod</t>
  </si>
  <si>
    <t>Hydrococcus sp.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</si>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</sst>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VERMA_08-07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A22" sqref="A22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42193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12.020833333333334</v>
      </c>
      <c r="N5" s="50"/>
      <c r="O5" s="51" t="s">
        <v>16</v>
      </c>
      <c r="P5" s="52">
        <v>11.595238095238095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3</v>
      </c>
      <c r="P6" s="64" t="s">
        <v>22</v>
      </c>
      <c r="Q6" s="65"/>
      <c r="R6" s="5"/>
      <c r="S6" s="5"/>
      <c r="T6" s="5"/>
      <c r="U6" s="5"/>
      <c r="V6" s="5"/>
      <c r="W6" s="20"/>
    </row>
    <row r="7" spans="1:23" ht="12.75">
      <c r="A7" s="66" t="s">
        <v>23</v>
      </c>
      <c r="B7" s="67">
        <v>85</v>
      </c>
      <c r="C7" s="68">
        <v>15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24</v>
      </c>
      <c r="P7" s="77" t="s">
        <v>25</v>
      </c>
      <c r="Q7" s="78"/>
      <c r="R7" s="5"/>
      <c r="S7" s="5"/>
      <c r="T7" s="5"/>
      <c r="U7" s="5"/>
      <c r="V7" s="5"/>
      <c r="W7" s="20"/>
    </row>
    <row r="8" spans="1:23" ht="12.75">
      <c r="A8" s="79" t="s">
        <v>26</v>
      </c>
      <c r="B8" s="80"/>
      <c r="C8" s="81"/>
      <c r="D8" s="56"/>
      <c r="E8" s="56"/>
      <c r="F8" s="82" t="s">
        <v>27</v>
      </c>
      <c r="G8" s="83"/>
      <c r="H8" s="56"/>
      <c r="I8" s="5"/>
      <c r="J8" s="71"/>
      <c r="K8" s="72"/>
      <c r="L8" s="73"/>
      <c r="M8" s="74"/>
      <c r="N8" s="84" t="s">
        <v>28</v>
      </c>
      <c r="O8" s="85">
        <f>IF(ISERROR(AVERAGE(J23:J82))," ",AVERAGE(J23:J82))</f>
        <v>11.277777777777779</v>
      </c>
      <c r="P8" s="85">
        <f>IF(ISERROR(AVERAGE(K23:K82)),"  ",AVERAGE(K23:K82))</f>
        <v>1.6111111111111112</v>
      </c>
      <c r="Q8" s="86"/>
      <c r="R8" s="5"/>
      <c r="S8" s="5"/>
      <c r="T8" s="5"/>
      <c r="U8" s="5"/>
      <c r="V8" s="5"/>
      <c r="W8" s="20"/>
    </row>
    <row r="9" spans="1:23" ht="12.75">
      <c r="A9" s="40" t="s">
        <v>29</v>
      </c>
      <c r="B9" s="87">
        <v>7.7</v>
      </c>
      <c r="C9" s="88">
        <v>3.35</v>
      </c>
      <c r="D9" s="89"/>
      <c r="E9" s="89"/>
      <c r="F9" s="90">
        <f>($B9*$B$7+$C9*$C$7)/100</f>
        <v>7.0475</v>
      </c>
      <c r="G9" s="91"/>
      <c r="H9" s="43"/>
      <c r="I9" s="5"/>
      <c r="J9" s="92"/>
      <c r="K9" s="93"/>
      <c r="L9" s="73"/>
      <c r="M9" s="94"/>
      <c r="N9" s="84" t="s">
        <v>30</v>
      </c>
      <c r="O9" s="85">
        <f>IF(ISERROR(STDEVP(J23:J82))," ",STDEVP(J23:J82))</f>
        <v>3.460981806038338</v>
      </c>
      <c r="P9" s="85">
        <f>IF(ISERROR(STDEVP(K23:K82)),"  ",STDEVP(K23:K82))</f>
        <v>0.48749802152178456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31</v>
      </c>
      <c r="B10" s="95" t="s">
        <v>32</v>
      </c>
      <c r="C10" s="96" t="s">
        <v>32</v>
      </c>
      <c r="D10" s="89"/>
      <c r="E10" s="89"/>
      <c r="F10" s="90"/>
      <c r="G10" s="91"/>
      <c r="H10" s="56"/>
      <c r="I10" s="5"/>
      <c r="J10" s="97"/>
      <c r="K10" s="98" t="s">
        <v>33</v>
      </c>
      <c r="L10" s="99"/>
      <c r="M10" s="100"/>
      <c r="N10" s="84" t="s">
        <v>34</v>
      </c>
      <c r="O10" s="101">
        <f>MIN(J23:J82)</f>
        <v>4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35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36</v>
      </c>
      <c r="K11" s="109"/>
      <c r="L11" s="110">
        <f>COUNTIF($G$23:$G$82,"=HET")</f>
        <v>0</v>
      </c>
      <c r="M11" s="111"/>
      <c r="N11" s="84" t="s">
        <v>37</v>
      </c>
      <c r="O11" s="101">
        <f>MAX(J23:J82)</f>
        <v>16</v>
      </c>
      <c r="P11" s="101">
        <f>MAX(K23:K82)</f>
        <v>2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38</v>
      </c>
      <c r="B12" s="113">
        <v>0.36</v>
      </c>
      <c r="C12" s="114">
        <v>0.21</v>
      </c>
      <c r="D12" s="89"/>
      <c r="E12" s="89"/>
      <c r="F12" s="106">
        <f>($B12*$B$7+$C12*$C$7)/100</f>
        <v>0.3375</v>
      </c>
      <c r="G12" s="107"/>
      <c r="H12" s="56"/>
      <c r="I12" s="5"/>
      <c r="J12" s="108" t="s">
        <v>39</v>
      </c>
      <c r="K12" s="109"/>
      <c r="L12" s="110">
        <f>COUNTIF($G$23:$G$82,"=ALG")</f>
        <v>9</v>
      </c>
      <c r="M12" s="111"/>
      <c r="N12" s="115"/>
      <c r="O12" s="116" t="s">
        <v>33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40</v>
      </c>
      <c r="B13" s="113">
        <v>7.34</v>
      </c>
      <c r="C13" s="114">
        <v>3.13</v>
      </c>
      <c r="D13" s="89"/>
      <c r="E13" s="89"/>
      <c r="F13" s="106">
        <f>($B13*$B$7+$C13*$C$7)/100</f>
        <v>6.7085</v>
      </c>
      <c r="G13" s="107"/>
      <c r="H13" s="56"/>
      <c r="I13" s="5"/>
      <c r="J13" s="119" t="s">
        <v>41</v>
      </c>
      <c r="K13" s="109"/>
      <c r="L13" s="110">
        <f>COUNTIF($G$23:$G$82,"=BRm")+COUNTIF($G$23:$G$82,"=BRh")</f>
        <v>10</v>
      </c>
      <c r="M13" s="111"/>
      <c r="N13" s="120" t="s">
        <v>42</v>
      </c>
      <c r="O13" s="121">
        <f>COUNTIF(F23:F82,"&gt;0")</f>
        <v>21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43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44</v>
      </c>
      <c r="K14" s="109"/>
      <c r="L14" s="110">
        <f>COUNTIF($G$23:$G$82,"=PTE")+COUNTIF($G$23:$G$82,"=LIC")</f>
        <v>0</v>
      </c>
      <c r="M14" s="111"/>
      <c r="N14" s="123" t="s">
        <v>45</v>
      </c>
      <c r="O14" s="124">
        <f>COUNTIF($J$23:$J$82,"&gt;-1")</f>
        <v>18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46</v>
      </c>
      <c r="B15" s="127"/>
      <c r="C15" s="128">
        <v>0.01</v>
      </c>
      <c r="D15" s="89"/>
      <c r="E15" s="89"/>
      <c r="F15" s="106">
        <f>($B15*$B$7+$C15*$C$7)/100</f>
        <v>0.0015</v>
      </c>
      <c r="G15" s="107"/>
      <c r="H15" s="56"/>
      <c r="I15" s="5"/>
      <c r="J15" s="119" t="s">
        <v>47</v>
      </c>
      <c r="K15" s="109"/>
      <c r="L15" s="110">
        <f>(COUNTIF($G$23:$G$82,"=PHy"))+(COUNTIF($G$23:$G$82,"=PHe"))+(COUNTIF($G$23:$G$82,"=PHg"))+(COUNTIF($G$23:$G$82,"=PHx"))</f>
        <v>1</v>
      </c>
      <c r="M15" s="111"/>
      <c r="N15" s="120" t="s">
        <v>48</v>
      </c>
      <c r="O15" s="121">
        <f>COUNTIF(K23:K82,"=1")</f>
        <v>7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49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50</v>
      </c>
      <c r="O16" s="121">
        <f>COUNTIF(K23:K82,"=2")</f>
        <v>11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51</v>
      </c>
      <c r="B17" s="113">
        <v>7.7</v>
      </c>
      <c r="C17" s="114">
        <v>3.34</v>
      </c>
      <c r="D17" s="89"/>
      <c r="E17" s="89"/>
      <c r="F17" s="133"/>
      <c r="G17" s="134">
        <f>($B17*$B$7+$C17*$C$7)/100</f>
        <v>7.046</v>
      </c>
      <c r="H17" s="56"/>
      <c r="I17" s="5"/>
      <c r="J17" s="135"/>
      <c r="K17" s="136"/>
      <c r="L17" s="137" t="s">
        <v>52</v>
      </c>
      <c r="M17" s="138">
        <f>IF(ISERROR((O13-(COUNTIF(J23:J82,"nc")))/O13),"-",(O13-(COUNTIF(J23:J82,"nc")))/O13)</f>
        <v>0.9047619047619048</v>
      </c>
      <c r="N17" s="120" t="s">
        <v>53</v>
      </c>
      <c r="O17" s="121">
        <f>COUNTIF(K23:K82,"=3")</f>
        <v>0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54</v>
      </c>
      <c r="B18" s="142"/>
      <c r="C18" s="143">
        <v>0.01</v>
      </c>
      <c r="D18" s="89"/>
      <c r="E18" s="144" t="s">
        <v>55</v>
      </c>
      <c r="F18" s="133"/>
      <c r="G18" s="134">
        <f>($B18*$B$7+$C18*$C$7)/100</f>
        <v>0.0015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56</v>
      </c>
      <c r="X18" s="9" t="s">
        <v>56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7.0475</v>
      </c>
      <c r="G19" s="157">
        <f>SUM(G16:G18)</f>
        <v>7.0475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56</v>
      </c>
      <c r="X19" s="9" t="s">
        <v>56</v>
      </c>
    </row>
    <row r="20" spans="1:23" ht="12.75">
      <c r="A20" s="165" t="s">
        <v>57</v>
      </c>
      <c r="B20" s="166">
        <f>SUM(B23:B62)</f>
        <v>7.699999999999998</v>
      </c>
      <c r="C20" s="167">
        <f>SUM(C23:C62)</f>
        <v>3.3499999999999996</v>
      </c>
      <c r="D20" s="168"/>
      <c r="E20" s="169" t="s">
        <v>55</v>
      </c>
      <c r="F20" s="170">
        <f>($B20*$B$7+$C20*$C$7)/100</f>
        <v>7.0474999999999985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58</v>
      </c>
      <c r="B21" s="178">
        <f>B20*B7/100</f>
        <v>6.544999999999999</v>
      </c>
      <c r="C21" s="178">
        <f>C20*C7/100</f>
        <v>0.5025</v>
      </c>
      <c r="D21" s="179" t="s">
        <v>59</v>
      </c>
      <c r="E21" s="180"/>
      <c r="F21" s="181">
        <f>B21+C21</f>
        <v>7.047499999999999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60</v>
      </c>
    </row>
    <row r="22" spans="1:26" ht="12.75">
      <c r="A22" s="190" t="s">
        <v>61</v>
      </c>
      <c r="B22" s="191" t="s">
        <v>62</v>
      </c>
      <c r="C22" s="191" t="s">
        <v>62</v>
      </c>
      <c r="D22" s="192"/>
      <c r="E22" s="193"/>
      <c r="F22" s="194" t="s">
        <v>63</v>
      </c>
      <c r="G22" s="195" t="s">
        <v>64</v>
      </c>
      <c r="H22" s="89" t="s">
        <v>65</v>
      </c>
      <c r="I22" s="5" t="s">
        <v>66</v>
      </c>
      <c r="J22" s="196" t="s">
        <v>67</v>
      </c>
      <c r="K22" s="196" t="s">
        <v>68</v>
      </c>
      <c r="L22" s="197" t="s">
        <v>69</v>
      </c>
      <c r="M22" s="197"/>
      <c r="N22" s="197"/>
      <c r="O22" s="197"/>
      <c r="P22" s="189" t="s">
        <v>70</v>
      </c>
      <c r="Q22" s="198" t="s">
        <v>71</v>
      </c>
      <c r="R22" s="199" t="s">
        <v>72</v>
      </c>
      <c r="S22" s="200" t="s">
        <v>73</v>
      </c>
      <c r="T22" s="201" t="s">
        <v>74</v>
      </c>
      <c r="U22" s="201" t="s">
        <v>75</v>
      </c>
      <c r="V22" s="202" t="s">
        <v>76</v>
      </c>
      <c r="W22" s="203" t="s">
        <v>77</v>
      </c>
      <c r="X22" s="204" t="s">
        <v>78</v>
      </c>
      <c r="Y22" s="205" t="s">
        <v>79</v>
      </c>
      <c r="Z22" s="205" t="s">
        <v>80</v>
      </c>
    </row>
    <row r="23" spans="1:26" ht="12.75">
      <c r="A23" s="206" t="s">
        <v>81</v>
      </c>
      <c r="B23" s="207">
        <v>0.01</v>
      </c>
      <c r="C23" s="208">
        <v>0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Batrachospermum sp.</v>
      </c>
      <c r="E23" s="210" t="e">
        <f>IF(D23="",,VLOOKUP(D23,D$22:D22,1,0))</f>
        <v>#N/A</v>
      </c>
      <c r="F23" s="211">
        <f>IF(AND(OR(A23="",A23="!!!!!!"),B23="",C23=""),"",IF(OR(AND(B23="",C23=""),ISERROR(C23+B23)),"!!!",($B23*$B$7+$C23*$C$7)/100))</f>
        <v>0.0085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16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2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Batrachospermum sp.</v>
      </c>
      <c r="M23" s="216"/>
      <c r="N23" s="216"/>
      <c r="O23" s="216"/>
      <c r="P23" s="217" t="s">
        <v>82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1155</v>
      </c>
      <c r="R23" s="219">
        <f>IF(ISTEXT(H23),"",(B23*$B$7/100)+(C23*$C$7/100))</f>
        <v>0.0085</v>
      </c>
      <c r="S23" s="220">
        <f>IF(OR(ISTEXT(H23),R23=0),"",IF(R23&lt;0.1,1,IF(R23&lt;1,2,IF(R23&lt;10,3,IF(R23&lt;50,4,IF(R23&gt;=50,5,""))))))</f>
        <v>1</v>
      </c>
      <c r="T23" s="220">
        <f>IF(ISERROR(S23*J23),0,S23*J23)</f>
        <v>16</v>
      </c>
      <c r="U23" s="220">
        <f>IF(ISERROR(S23*J23*K23),0,S23*J23*K23)</f>
        <v>32</v>
      </c>
      <c r="V23" s="220">
        <f>IF(ISERROR(S23*K23),0,S23*K23)</f>
        <v>2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BATSPX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10</v>
      </c>
    </row>
    <row r="24" spans="1:26" ht="12.75">
      <c r="A24" s="224" t="s">
        <v>83</v>
      </c>
      <c r="B24" s="225">
        <v>0.18</v>
      </c>
      <c r="C24" s="226">
        <v>0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Cladophora sp.</v>
      </c>
      <c r="E24" s="228" t="e">
        <f>IF(D24="",,VLOOKUP(D24,D$22:D23,1,0))</f>
        <v>#N/A</v>
      </c>
      <c r="F24" s="229">
        <f>IF(AND(OR(A24="",A24="!!!!!!"),B24="",C24=""),"",IF(OR(AND(B24="",C24=""),ISERROR(C24+B24)),"!!!",($B24*$B$7+$C24*$C$7)/100))</f>
        <v>0.153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>IF(A24="","",1)</f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6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1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Cladophora sp.</v>
      </c>
      <c r="M24" s="233"/>
      <c r="N24" s="233"/>
      <c r="O24" s="233"/>
      <c r="P24" s="234" t="s">
        <v>82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1124</v>
      </c>
      <c r="R24" s="219">
        <f>IF(ISTEXT(H24),"",(B24*$B$7/100)+(C24*$C$7/100))</f>
        <v>0.153</v>
      </c>
      <c r="S24" s="220">
        <f>IF(OR(ISTEXT(H24),R24=0),"",IF(R24&lt;0.1,1,IF(R24&lt;1,2,IF(R24&lt;10,3,IF(R24&lt;50,4,IF(R24&gt;=50,5,""))))))</f>
        <v>2</v>
      </c>
      <c r="T24" s="220">
        <f>IF(ISERROR(S24*J24),0,S24*J24)</f>
        <v>12</v>
      </c>
      <c r="U24" s="220">
        <f>IF(ISERROR(S24*J24*K24),0,S24*J24*K24)</f>
        <v>12</v>
      </c>
      <c r="V24" s="236">
        <f>IF(ISERROR(S24*K24),0,S24*K24)</f>
        <v>2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CLASPX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35</v>
      </c>
    </row>
    <row r="25" spans="1:26" ht="12.75">
      <c r="A25" s="224" t="s">
        <v>84</v>
      </c>
      <c r="B25" s="225">
        <v>0.01</v>
      </c>
      <c r="C25" s="226">
        <v>0.09999999999999999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Melosira sp.</v>
      </c>
      <c r="E25" s="228" t="e">
        <f>IF(D25="",,VLOOKUP(D25,D$22:D24,1,0))</f>
        <v>#N/A</v>
      </c>
      <c r="F25" s="229">
        <f>IF(AND(OR(A25="",A25="!!!!!!"),B25="",C25=""),"",IF(OR(AND(B25="",C25=""),ISERROR(C25+B25)),"!!!",($B25*$B$7+$C25*$C$7)/100))</f>
        <v>0.023499999999999997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ALG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2</v>
      </c>
      <c r="I25" s="5">
        <f>IF(A25="","",1)</f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10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1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Melosira sp.</v>
      </c>
      <c r="M25" s="233"/>
      <c r="N25" s="233"/>
      <c r="O25" s="233"/>
      <c r="P25" s="234" t="s">
        <v>82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8714</v>
      </c>
      <c r="R25" s="219">
        <f>IF(ISTEXT(H25),"",(B25*$B$7/100)+(C25*$C$7/100))</f>
        <v>0.0235</v>
      </c>
      <c r="S25" s="220">
        <f>IF(OR(ISTEXT(H25),R25=0),"",IF(R25&lt;0.1,1,IF(R25&lt;1,2,IF(R25&lt;10,3,IF(R25&lt;50,4,IF(R25&gt;=50,5,""))))))</f>
        <v>1</v>
      </c>
      <c r="T25" s="220">
        <f>IF(ISERROR(S25*J25),0,S25*J25)</f>
        <v>10</v>
      </c>
      <c r="U25" s="220">
        <f>IF(ISERROR(S25*J25*K25),0,S25*J25*K25)</f>
        <v>10</v>
      </c>
      <c r="V25" s="236">
        <f>IF(ISERROR(S25*K25),0,S25*K25)</f>
        <v>1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MELSPX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62</v>
      </c>
    </row>
    <row r="26" spans="1:26" ht="12.75">
      <c r="A26" s="224" t="s">
        <v>85</v>
      </c>
      <c r="B26" s="225">
        <v>0.02</v>
      </c>
      <c r="C26" s="226">
        <v>0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Microspora sp.</v>
      </c>
      <c r="E26" s="228" t="e">
        <f>IF(D26="",,VLOOKUP(D26,D$22:D25,1,0))</f>
        <v>#N/A</v>
      </c>
      <c r="F26" s="229">
        <f>IF(AND(OR(A26="",A26="!!!!!!"),B26="",C26=""),"",IF(OR(AND(B26="",C26=""),ISERROR(C26+B26)),"!!!",($B26*$B$7+$C26*$C$7)/100))</f>
        <v>0.017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ALG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2</v>
      </c>
      <c r="I26" s="5">
        <f>IF(A26="","",1)</f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12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2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Microspora sp.</v>
      </c>
      <c r="M26" s="233"/>
      <c r="N26" s="233"/>
      <c r="O26" s="233"/>
      <c r="P26" s="234" t="s">
        <v>82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1132</v>
      </c>
      <c r="R26" s="219">
        <f>IF(ISTEXT(H26),"",(B26*$B$7/100)+(C26*$C$7/100))</f>
        <v>0.017</v>
      </c>
      <c r="S26" s="220">
        <f>IF(OR(ISTEXT(H26),R26=0),"",IF(R26&lt;0.1,1,IF(R26&lt;1,2,IF(R26&lt;10,3,IF(R26&lt;50,4,IF(R26&gt;=50,5,""))))))</f>
        <v>1</v>
      </c>
      <c r="T26" s="220">
        <f>IF(ISERROR(S26*J26),0,S26*J26)</f>
        <v>12</v>
      </c>
      <c r="U26" s="220">
        <f>IF(ISERROR(S26*J26*K26),0,S26*J26*K26)</f>
        <v>24</v>
      </c>
      <c r="V26" s="236">
        <f>IF(ISERROR(S26*K26),0,S26*K26)</f>
        <v>2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MICSPX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66</v>
      </c>
    </row>
    <row r="27" spans="1:26" ht="12.75">
      <c r="A27" s="224" t="s">
        <v>86</v>
      </c>
      <c r="B27" s="225">
        <v>0.01</v>
      </c>
      <c r="C27" s="226">
        <v>0.01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Nostoc sp.</v>
      </c>
      <c r="E27" s="228" t="e">
        <f>IF(D27="",,VLOOKUP(D27,D$22:D26,1,0))</f>
        <v>#N/A</v>
      </c>
      <c r="F27" s="229">
        <f>IF(AND(OR(A27="",A27="!!!!!!"),B27="",C27=""),"",IF(OR(AND(B27="",C27=""),ISERROR(C27+B27)),"!!!",($B27*$B$7+$C27*$C$7)/100))</f>
        <v>0.01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ALG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2</v>
      </c>
      <c r="I27" s="5">
        <f>IF(A27="","",1)</f>
        <v>1</v>
      </c>
      <c r="J27" s="232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9</v>
      </c>
      <c r="K27" s="232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1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Nostoc sp.</v>
      </c>
      <c r="M27" s="233"/>
      <c r="N27" s="233"/>
      <c r="O27" s="233"/>
      <c r="P27" s="234" t="s">
        <v>82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1105</v>
      </c>
      <c r="R27" s="219">
        <f>IF(ISTEXT(H27),"",(B27*$B$7/100)+(C27*$C$7/100))</f>
        <v>0.01</v>
      </c>
      <c r="S27" s="220">
        <f>IF(OR(ISTEXT(H27),R27=0),"",IF(R27&lt;0.1,1,IF(R27&lt;1,2,IF(R27&lt;10,3,IF(R27&lt;50,4,IF(R27&gt;=50,5,""))))))</f>
        <v>1</v>
      </c>
      <c r="T27" s="220">
        <f>IF(ISERROR(S27*J27),0,S27*J27)</f>
        <v>9</v>
      </c>
      <c r="U27" s="220">
        <f>IF(ISERROR(S27*J27*K27),0,S27*J27*K27)</f>
        <v>9</v>
      </c>
      <c r="V27" s="236">
        <f>IF(ISERROR(S27*K27),0,S27*K27)</f>
        <v>1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NOSSPX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84</v>
      </c>
    </row>
    <row r="28" spans="1:26" ht="12.75">
      <c r="A28" s="224" t="s">
        <v>87</v>
      </c>
      <c r="B28" s="225">
        <v>0.01</v>
      </c>
      <c r="C28" s="226">
        <v>0</v>
      </c>
      <c r="D28" s="227" t="str">
        <f>IF(ISERROR(VLOOKUP($A28,'[1]liste reference'!$A$6:$B$1174,2,0)),IF(ISERROR(VLOOKUP($A28,'[1]liste reference'!$B$6:$B$1174,1,0)),"",VLOOKUP($A28,'[1]liste reference'!$B$6:$B$1174,1,0)),VLOOKUP($A28,'[1]liste reference'!$A$6:$B$1174,2,0))</f>
        <v>Phormidium sp.</v>
      </c>
      <c r="E28" s="228" t="e">
        <f>IF(D28="",,VLOOKUP(D28,D$22:D27,1,0))</f>
        <v>#N/A</v>
      </c>
      <c r="F28" s="229">
        <f>IF(AND(OR(A28="",A28="!!!!!!"),B28="",C28=""),"",IF(OR(AND(B28="",C28=""),ISERROR(C28+B28)),"!!!",($B28*$B$7+$C28*$C$7)/100))</f>
        <v>0.0085</v>
      </c>
      <c r="G28" s="230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ALG</v>
      </c>
      <c r="H28" s="231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2</v>
      </c>
      <c r="I28" s="5">
        <f>IF(A28="","",1)</f>
        <v>1</v>
      </c>
      <c r="J28" s="232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13</v>
      </c>
      <c r="K28" s="232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2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Phormidium sp.</v>
      </c>
      <c r="M28" s="233"/>
      <c r="N28" s="233"/>
      <c r="O28" s="233"/>
      <c r="P28" s="234" t="s">
        <v>82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6414</v>
      </c>
      <c r="R28" s="219">
        <f>IF(ISTEXT(H28),"",(B28*$B$7/100)+(C28*$C$7/100))</f>
        <v>0.0085</v>
      </c>
      <c r="S28" s="220">
        <f>IF(OR(ISTEXT(H28),R28=0),"",IF(R28&lt;0.1,1,IF(R28&lt;1,2,IF(R28&lt;10,3,IF(R28&lt;50,4,IF(R28&gt;=50,5,""))))))</f>
        <v>1</v>
      </c>
      <c r="T28" s="220">
        <f>IF(ISERROR(S28*J28),0,S28*J28)</f>
        <v>13</v>
      </c>
      <c r="U28" s="220">
        <f>IF(ISERROR(S28*J28*K28),0,S28*J28*K28)</f>
        <v>26</v>
      </c>
      <c r="V28" s="236">
        <f>IF(ISERROR(S28*K28),0,S28*K28)</f>
        <v>2</v>
      </c>
      <c r="W28" s="237"/>
      <c r="X28" s="238"/>
      <c r="Y28" s="223" t="str">
        <f>IF(AND(ISNUMBER(F28),OR(A28="",A28="!!!!!!")),"!!!!!!",IF(A28="new.cod","NEWCOD",IF(AND((Z28=""),ISTEXT(A28),A28&lt;&gt;"!!!!!!"),A28,IF(Z28="","",INDEX('[1]liste reference'!$A$6:$A$1174,Z28)))))</f>
        <v>PHOSPX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  <v>88</v>
      </c>
    </row>
    <row r="29" spans="1:26" ht="12.75">
      <c r="A29" s="224" t="s">
        <v>88</v>
      </c>
      <c r="B29" s="225">
        <v>0.02</v>
      </c>
      <c r="C29" s="226">
        <v>0.08</v>
      </c>
      <c r="D29" s="227" t="str">
        <f>IF(ISERROR(VLOOKUP($A29,'[1]liste reference'!$A$6:$B$1174,2,0)),IF(ISERROR(VLOOKUP($A29,'[1]liste reference'!$B$6:$B$1174,1,0)),"",VLOOKUP($A29,'[1]liste reference'!$B$6:$B$1174,1,0)),VLOOKUP($A29,'[1]liste reference'!$A$6:$B$1174,2,0))</f>
        <v>Tribonema sp.</v>
      </c>
      <c r="E29" s="228" t="e">
        <f>IF(D29="",,VLOOKUP(D29,D$22:D28,1,0))</f>
        <v>#N/A</v>
      </c>
      <c r="F29" s="229">
        <f>IF(AND(OR(A29="",A29="!!!!!!"),B29="",C29=""),"",IF(OR(AND(B29="",C29=""),ISERROR(C29+B29)),"!!!",($B29*$B$7+$C29*$C$7)/100))</f>
        <v>0.028999999999999998</v>
      </c>
      <c r="G29" s="230" t="str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  <v>ALG</v>
      </c>
      <c r="H29" s="231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2</v>
      </c>
      <c r="I29" s="5">
        <f>IF(A29="","",1)</f>
        <v>1</v>
      </c>
      <c r="J29" s="232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11</v>
      </c>
      <c r="K29" s="232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2</v>
      </c>
      <c r="L29" s="215" t="str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  <v>Tribonema sp.</v>
      </c>
      <c r="M29" s="233"/>
      <c r="N29" s="233"/>
      <c r="O29" s="233"/>
      <c r="P29" s="234" t="s">
        <v>82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  <v>1167</v>
      </c>
      <c r="R29" s="219">
        <f>IF(ISTEXT(H29),"",(B29*$B$7/100)+(C29*$C$7/100))</f>
        <v>0.029</v>
      </c>
      <c r="S29" s="220">
        <f>IF(OR(ISTEXT(H29),R29=0),"",IF(R29&lt;0.1,1,IF(R29&lt;1,2,IF(R29&lt;10,3,IF(R29&lt;50,4,IF(R29&gt;=50,5,""))))))</f>
        <v>1</v>
      </c>
      <c r="T29" s="220">
        <f>IF(ISERROR(S29*J29),0,S29*J29)</f>
        <v>11</v>
      </c>
      <c r="U29" s="220">
        <f>IF(ISERROR(S29*J29*K29),0,S29*J29*K29)</f>
        <v>22</v>
      </c>
      <c r="V29" s="236">
        <f>IF(ISERROR(S29*K29),0,S29*K29)</f>
        <v>2</v>
      </c>
      <c r="W29" s="237"/>
      <c r="X29" s="238"/>
      <c r="Y29" s="223" t="str">
        <f>IF(AND(ISNUMBER(F29),OR(A29="",A29="!!!!!!")),"!!!!!!",IF(A29="new.cod","NEWCOD",IF(AND((Z29=""),ISTEXT(A29),A29&lt;&gt;"!!!!!!"),A29,IF(Z29="","",INDEX('[1]liste reference'!$A$6:$A$1174,Z29)))))</f>
        <v>TRISPX</v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  <v>115</v>
      </c>
    </row>
    <row r="30" spans="1:26" ht="12.75">
      <c r="A30" s="224" t="s">
        <v>89</v>
      </c>
      <c r="B30" s="225">
        <v>0</v>
      </c>
      <c r="C30" s="226">
        <v>0.01</v>
      </c>
      <c r="D30" s="227" t="str">
        <f>IF(ISERROR(VLOOKUP($A30,'[1]liste reference'!$A$6:$B$1174,2,0)),IF(ISERROR(VLOOKUP($A30,'[1]liste reference'!$B$6:$B$1174,1,0)),"",VLOOKUP($A30,'[1]liste reference'!$B$6:$B$1174,1,0)),VLOOKUP($A30,'[1]liste reference'!$A$6:$B$1174,2,0))</f>
        <v>Ulothrix sp.</v>
      </c>
      <c r="E30" s="228" t="e">
        <f>IF(D30="",,VLOOKUP(D30,D$22:D29,1,0))</f>
        <v>#N/A</v>
      </c>
      <c r="F30" s="229">
        <f>IF(AND(OR(A30="",A30="!!!!!!"),B30="",C30=""),"",IF(OR(AND(B30="",C30=""),ISERROR(C30+B30)),"!!!",($B30*$B$7+$C30*$C$7)/100))</f>
        <v>0.0015</v>
      </c>
      <c r="G30" s="230" t="str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  <v>ALG</v>
      </c>
      <c r="H30" s="231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2</v>
      </c>
      <c r="I30" s="5">
        <f>IF(A30="","",1)</f>
        <v>1</v>
      </c>
      <c r="J30" s="232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10</v>
      </c>
      <c r="K30" s="232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1</v>
      </c>
      <c r="L30" s="215" t="str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  <v>Ulothrix sp.</v>
      </c>
      <c r="M30" s="233"/>
      <c r="N30" s="233"/>
      <c r="O30" s="233"/>
      <c r="P30" s="234" t="s">
        <v>82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  <v>1142</v>
      </c>
      <c r="R30" s="219">
        <f>IF(ISTEXT(H30),"",(B30*$B$7/100)+(C30*$C$7/100))</f>
        <v>0.0015</v>
      </c>
      <c r="S30" s="220">
        <f>IF(OR(ISTEXT(H30),R30=0),"",IF(R30&lt;0.1,1,IF(R30&lt;1,2,IF(R30&lt;10,3,IF(R30&lt;50,4,IF(R30&gt;=50,5,""))))))</f>
        <v>1</v>
      </c>
      <c r="T30" s="220">
        <f>IF(ISERROR(S30*J30),0,S30*J30)</f>
        <v>10</v>
      </c>
      <c r="U30" s="220">
        <f>IF(ISERROR(S30*J30*K30),0,S30*J30*K30)</f>
        <v>10</v>
      </c>
      <c r="V30" s="236">
        <f>IF(ISERROR(S30*K30),0,S30*K30)</f>
        <v>1</v>
      </c>
      <c r="W30" s="237"/>
      <c r="X30" s="238"/>
      <c r="Y30" s="223" t="str">
        <f>IF(AND(ISNUMBER(F30),OR(A30="",A30="!!!!!!")),"!!!!!!",IF(A30="new.cod","NEWCOD",IF(AND((Z30=""),ISTEXT(A30),A30&lt;&gt;"!!!!!!"),A30,IF(Z30="","",INDEX('[1]liste reference'!$A$6:$A$1174,Z30)))))</f>
        <v>ULOSPX</v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  <v>116</v>
      </c>
    </row>
    <row r="31" spans="1:26" ht="12.75">
      <c r="A31" s="224" t="s">
        <v>90</v>
      </c>
      <c r="B31" s="225">
        <v>0.09</v>
      </c>
      <c r="C31" s="226">
        <v>0.01</v>
      </c>
      <c r="D31" s="227" t="str">
        <f>IF(ISERROR(VLOOKUP($A31,'[1]liste reference'!$A$6:$B$1174,2,0)),IF(ISERROR(VLOOKUP($A31,'[1]liste reference'!$B$6:$B$1174,1,0)),"",VLOOKUP($A31,'[1]liste reference'!$B$6:$B$1174,1,0)),VLOOKUP($A31,'[1]liste reference'!$A$6:$B$1174,2,0))</f>
        <v>Vaucheria sp.</v>
      </c>
      <c r="E31" s="228" t="e">
        <f>IF(D31="",,VLOOKUP(D31,D$22:D30,1,0))</f>
        <v>#N/A</v>
      </c>
      <c r="F31" s="229">
        <f>IF(AND(OR(A31="",A31="!!!!!!"),B31="",C31=""),"",IF(OR(AND(B31="",C31=""),ISERROR(C31+B31)),"!!!",($B31*$B$7+$C31*$C$7)/100))</f>
        <v>0.078</v>
      </c>
      <c r="G31" s="230" t="str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  <v>ALG</v>
      </c>
      <c r="H31" s="231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2</v>
      </c>
      <c r="I31" s="5">
        <f>IF(A31="","",1)</f>
        <v>1</v>
      </c>
      <c r="J31" s="232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4</v>
      </c>
      <c r="K31" s="232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1</v>
      </c>
      <c r="L31" s="215" t="str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  <v>Vaucheria sp.</v>
      </c>
      <c r="M31" s="233"/>
      <c r="N31" s="233"/>
      <c r="O31" s="233"/>
      <c r="P31" s="234" t="s">
        <v>82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  <v>1169</v>
      </c>
      <c r="R31" s="219">
        <f>IF(ISTEXT(H31),"",(B31*$B$7/100)+(C31*$C$7/100))</f>
        <v>0.078</v>
      </c>
      <c r="S31" s="220">
        <f>IF(OR(ISTEXT(H31),R31=0),"",IF(R31&lt;0.1,1,IF(R31&lt;1,2,IF(R31&lt;10,3,IF(R31&lt;50,4,IF(R31&gt;=50,5,""))))))</f>
        <v>1</v>
      </c>
      <c r="T31" s="220">
        <f>IF(ISERROR(S31*J31),0,S31*J31)</f>
        <v>4</v>
      </c>
      <c r="U31" s="220">
        <f>IF(ISERROR(S31*J31*K31),0,S31*J31*K31)</f>
        <v>4</v>
      </c>
      <c r="V31" s="236">
        <f>IF(ISERROR(S31*K31),0,S31*K31)</f>
        <v>1</v>
      </c>
      <c r="W31" s="237"/>
      <c r="X31" s="238"/>
      <c r="Y31" s="223" t="str">
        <f>IF(AND(ISNUMBER(F31),OR(A31="",A31="!!!!!!")),"!!!!!!",IF(A31="new.cod","NEWCOD",IF(AND((Z31=""),ISTEXT(A31),A31&lt;&gt;"!!!!!!"),A31,IF(Z31="","",INDEX('[1]liste reference'!$A$6:$A$1174,Z31)))))</f>
        <v>VAUSPX</v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  <v>118</v>
      </c>
    </row>
    <row r="32" spans="1:26" ht="12.75">
      <c r="A32" s="224" t="s">
        <v>91</v>
      </c>
      <c r="B32" s="225">
        <v>0.01</v>
      </c>
      <c r="C32" s="226">
        <v>0.01</v>
      </c>
      <c r="D32" s="227" t="str">
        <f>IF(ISERROR(VLOOKUP($A32,'[1]liste reference'!$A$6:$B$1174,2,0)),IF(ISERROR(VLOOKUP($A32,'[1]liste reference'!$B$6:$B$1174,1,0)),"",VLOOKUP($A32,'[1]liste reference'!$B$6:$B$1174,1,0)),VLOOKUP($A32,'[1]liste reference'!$A$6:$B$1174,2,0))</f>
        <v>Pellia endiviifolia</v>
      </c>
      <c r="E32" s="228" t="e">
        <f>IF(D32="",,VLOOKUP(D32,D$22:D31,1,0))</f>
        <v>#N/A</v>
      </c>
      <c r="F32" s="229">
        <f>IF(AND(OR(A32="",A32="!!!!!!"),B32="",C32=""),"",IF(OR(AND(B32="",C32=""),ISERROR(C32+B32)),"!!!",($B32*$B$7+$C32*$C$7)/100))</f>
        <v>0.01</v>
      </c>
      <c r="G32" s="230" t="str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  <v>BRh</v>
      </c>
      <c r="H32" s="231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4</v>
      </c>
      <c r="I32" s="5">
        <f>IF(A32="","",1)</f>
        <v>1</v>
      </c>
      <c r="J32" s="232" t="str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nc</v>
      </c>
      <c r="K32" s="232" t="str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nc</v>
      </c>
      <c r="L32" s="215" t="str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  <v>Pellia endiviifolia</v>
      </c>
      <c r="M32" s="233"/>
      <c r="N32" s="233"/>
      <c r="O32" s="233"/>
      <c r="P32" s="234" t="s">
        <v>82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  <v>1197</v>
      </c>
      <c r="R32" s="219">
        <f>IF(ISTEXT(H32),"",(B32*$B$7/100)+(C32*$C$7/100))</f>
        <v>0.01</v>
      </c>
      <c r="S32" s="220">
        <f>IF(OR(ISTEXT(H32),R32=0),"",IF(R32&lt;0.1,1,IF(R32&lt;1,2,IF(R32&lt;10,3,IF(R32&lt;50,4,IF(R32&gt;=50,5,""))))))</f>
        <v>1</v>
      </c>
      <c r="T32" s="220">
        <f>IF(ISERROR(S32*J32),0,S32*J32)</f>
        <v>0</v>
      </c>
      <c r="U32" s="220">
        <f>IF(ISERROR(S32*J32*K32),0,S32*J32*K32)</f>
        <v>0</v>
      </c>
      <c r="V32" s="236">
        <f>IF(ISERROR(S32*K32),0,S32*K32)</f>
        <v>0</v>
      </c>
      <c r="W32" s="237"/>
      <c r="X32" s="238"/>
      <c r="Y32" s="223" t="str">
        <f>IF(AND(ISNUMBER(F32),OR(A32="",A32="!!!!!!")),"!!!!!!",IF(A32="new.cod","NEWCOD",IF(AND((Z32=""),ISTEXT(A32),A32&lt;&gt;"!!!!!!"),A32,IF(Z32="","",INDEX('[1]liste reference'!$A$6:$A$1174,Z32)))))</f>
        <v>PELEND</v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  <v>167</v>
      </c>
    </row>
    <row r="33" spans="1:26" ht="12.75">
      <c r="A33" s="224" t="s">
        <v>16</v>
      </c>
      <c r="B33" s="225">
        <v>1.5</v>
      </c>
      <c r="C33" s="226">
        <v>0</v>
      </c>
      <c r="D33" s="227" t="str">
        <f>IF(ISERROR(VLOOKUP($A33,'[1]liste reference'!$A$6:$B$1174,2,0)),IF(ISERROR(VLOOKUP($A33,'[1]liste reference'!$B$6:$B$1174,1,0)),"",VLOOKUP($A33,'[1]liste reference'!$B$6:$B$1174,1,0)),VLOOKUP($A33,'[1]liste reference'!$A$6:$B$1174,2,0))</f>
        <v>Brachythecium rivulare</v>
      </c>
      <c r="E33" s="228" t="e">
        <f>IF(D33="",,VLOOKUP(D33,D$22:D32,1,0))</f>
        <v>#N/A</v>
      </c>
      <c r="F33" s="229">
        <f>IF(AND(OR(A33="",A33="!!!!!!"),B33="",C33=""),"",IF(OR(AND(B33="",C33=""),ISERROR(C33+B33)),"!!!",($B33*$B$7+$C33*$C$7)/100))</f>
        <v>1.275</v>
      </c>
      <c r="G33" s="230" t="str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  <v>BRm</v>
      </c>
      <c r="H33" s="231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5</v>
      </c>
      <c r="I33" s="5">
        <f>IF(A33="","",1)</f>
        <v>1</v>
      </c>
      <c r="J33" s="232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15</v>
      </c>
      <c r="K33" s="232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2</v>
      </c>
      <c r="L33" s="215" t="str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  <v>Brachythecium rivulare</v>
      </c>
      <c r="M33" s="233"/>
      <c r="N33" s="233"/>
      <c r="O33" s="233"/>
      <c r="P33" s="234" t="s">
        <v>82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  <v>1260</v>
      </c>
      <c r="R33" s="219">
        <f>IF(ISTEXT(H33),"",(B33*$B$7/100)+(C33*$C$7/100))</f>
        <v>1.275</v>
      </c>
      <c r="S33" s="220">
        <f>IF(OR(ISTEXT(H33),R33=0),"",IF(R33&lt;0.1,1,IF(R33&lt;1,2,IF(R33&lt;10,3,IF(R33&lt;50,4,IF(R33&gt;=50,5,""))))))</f>
        <v>3</v>
      </c>
      <c r="T33" s="220">
        <f>IF(ISERROR(S33*J33),0,S33*J33)</f>
        <v>45</v>
      </c>
      <c r="U33" s="220">
        <f>IF(ISERROR(S33*J33*K33),0,S33*J33*K33)</f>
        <v>90</v>
      </c>
      <c r="V33" s="236">
        <f>IF(ISERROR(S33*K33),0,S33*K33)</f>
        <v>6</v>
      </c>
      <c r="W33" s="237"/>
      <c r="X33" s="238"/>
      <c r="Y33" s="223" t="str">
        <f>IF(AND(ISNUMBER(F33),OR(A33="",A33="!!!!!!")),"!!!!!!",IF(A33="new.cod","NEWCOD",IF(AND((Z33=""),ISTEXT(A33),A33&lt;&gt;"!!!!!!"),A33,IF(Z33="","",INDEX('[1]liste reference'!$A$6:$A$1174,Z33)))))</f>
        <v>BRARIV</v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  <v>203</v>
      </c>
    </row>
    <row r="34" spans="1:26" ht="12.75">
      <c r="A34" s="224" t="s">
        <v>92</v>
      </c>
      <c r="B34" s="225">
        <v>1.5</v>
      </c>
      <c r="C34" s="226">
        <v>0.01</v>
      </c>
      <c r="D34" s="227" t="str">
        <f>IF(ISERROR(VLOOKUP($A34,'[1]liste reference'!$A$6:$B$1174,2,0)),IF(ISERROR(VLOOKUP($A34,'[1]liste reference'!$B$6:$B$1174,1,0)),"",VLOOKUP($A34,'[1]liste reference'!$B$6:$B$1174,1,0)),VLOOKUP($A34,'[1]liste reference'!$A$6:$B$1174,2,0))</f>
        <v>Cinclidotus aquaticus</v>
      </c>
      <c r="E34" s="228" t="e">
        <f>IF(D34="",,VLOOKUP(D34,D$22:D33,1,0))</f>
        <v>#N/A</v>
      </c>
      <c r="F34" s="229">
        <f>IF(AND(OR(A34="",A34="!!!!!!"),B34="",C34=""),"",IF(OR(AND(B34="",C34=""),ISERROR(C34+B34)),"!!!",($B34*$B$7+$C34*$C$7)/100))</f>
        <v>1.2765</v>
      </c>
      <c r="G34" s="230" t="str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  <v>BRm</v>
      </c>
      <c r="H34" s="231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5</v>
      </c>
      <c r="I34" s="5">
        <f>IF(A34="","",1)</f>
        <v>1</v>
      </c>
      <c r="J34" s="232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15</v>
      </c>
      <c r="K34" s="232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2</v>
      </c>
      <c r="L34" s="215" t="str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  <v>Cinclidotus aquaticus</v>
      </c>
      <c r="M34" s="233"/>
      <c r="N34" s="233"/>
      <c r="O34" s="233"/>
      <c r="P34" s="234" t="s">
        <v>82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  <v>1318</v>
      </c>
      <c r="R34" s="219">
        <f>IF(ISTEXT(H34),"",(B34*$B$7/100)+(C34*$C$7/100))</f>
        <v>1.2765</v>
      </c>
      <c r="S34" s="220">
        <f>IF(OR(ISTEXT(H34),R34=0),"",IF(R34&lt;0.1,1,IF(R34&lt;1,2,IF(R34&lt;10,3,IF(R34&lt;50,4,IF(R34&gt;=50,5,""))))))</f>
        <v>3</v>
      </c>
      <c r="T34" s="220">
        <f>IF(ISERROR(S34*J34),0,S34*J34)</f>
        <v>45</v>
      </c>
      <c r="U34" s="220">
        <f>IF(ISERROR(S34*J34*K34),0,S34*J34*K34)</f>
        <v>90</v>
      </c>
      <c r="V34" s="236">
        <f>IF(ISERROR(S34*K34),0,S34*K34)</f>
        <v>6</v>
      </c>
      <c r="W34" s="237"/>
      <c r="X34" s="238"/>
      <c r="Y34" s="223" t="str">
        <f>IF(AND(ISNUMBER(F34),OR(A34="",A34="!!!!!!")),"!!!!!!",IF(A34="new.cod","NEWCOD",IF(AND((Z34=""),ISTEXT(A34),A34&lt;&gt;"!!!!!!"),A34,IF(Z34="","",INDEX('[1]liste reference'!$A$6:$A$1174,Z34)))))</f>
        <v>CINAQU</v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  <v>221</v>
      </c>
    </row>
    <row r="35" spans="1:26" ht="12.75">
      <c r="A35" s="224" t="s">
        <v>93</v>
      </c>
      <c r="B35" s="225">
        <v>2</v>
      </c>
      <c r="C35" s="226">
        <v>2</v>
      </c>
      <c r="D35" s="227" t="str">
        <f>IF(ISERROR(VLOOKUP($A35,'[1]liste reference'!$A$6:$B$1174,2,0)),IF(ISERROR(VLOOKUP($A35,'[1]liste reference'!$B$6:$B$1174,1,0)),"",VLOOKUP($A35,'[1]liste reference'!$B$6:$B$1174,1,0)),VLOOKUP($A35,'[1]liste reference'!$A$6:$B$1174,2,0))</f>
        <v>Cinclidotus riparius</v>
      </c>
      <c r="E35" s="228" t="e">
        <f>IF(D35="",,VLOOKUP(D35,D$22:D34,1,0))</f>
        <v>#N/A</v>
      </c>
      <c r="F35" s="229">
        <f>IF(AND(OR(A35="",A35="!!!!!!"),B35="",C35=""),"",IF(OR(AND(B35="",C35=""),ISERROR(C35+B35)),"!!!",($B35*$B$7+$C35*$C$7)/100))</f>
        <v>2</v>
      </c>
      <c r="G35" s="230" t="str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  <v>BRm</v>
      </c>
      <c r="H35" s="231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5</v>
      </c>
      <c r="I35" s="5">
        <f>IF(A35="","",1)</f>
        <v>1</v>
      </c>
      <c r="J35" s="232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13</v>
      </c>
      <c r="K35" s="232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2</v>
      </c>
      <c r="L35" s="215" t="str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  <v>Cinclidotus riparius</v>
      </c>
      <c r="M35" s="233"/>
      <c r="N35" s="233"/>
      <c r="O35" s="233"/>
      <c r="P35" s="234" t="s">
        <v>82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  <v>1321</v>
      </c>
      <c r="R35" s="219">
        <f>IF(ISTEXT(H35),"",(B35*$B$7/100)+(C35*$C$7/100))</f>
        <v>2</v>
      </c>
      <c r="S35" s="220">
        <f>IF(OR(ISTEXT(H35),R35=0),"",IF(R35&lt;0.1,1,IF(R35&lt;1,2,IF(R35&lt;10,3,IF(R35&lt;50,4,IF(R35&gt;=50,5,""))))))</f>
        <v>3</v>
      </c>
      <c r="T35" s="220">
        <f>IF(ISERROR(S35*J35),0,S35*J35)</f>
        <v>39</v>
      </c>
      <c r="U35" s="220">
        <f>IF(ISERROR(S35*J35*K35),0,S35*J35*K35)</f>
        <v>78</v>
      </c>
      <c r="V35" s="236">
        <f>IF(ISERROR(S35*K35),0,S35*K35)</f>
        <v>6</v>
      </c>
      <c r="W35" s="237"/>
      <c r="X35" s="238"/>
      <c r="Y35" s="223" t="str">
        <f>IF(AND(ISNUMBER(F35),OR(A35="",A35="!!!!!!")),"!!!!!!",IF(A35="new.cod","NEWCOD",IF(AND((Z35=""),ISTEXT(A35),A35&lt;&gt;"!!!!!!"),A35,IF(Z35="","",INDEX('[1]liste reference'!$A$6:$A$1174,Z35)))))</f>
        <v>CINRIP</v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  <v>224</v>
      </c>
    </row>
    <row r="36" spans="1:26" ht="12.75">
      <c r="A36" s="224" t="s">
        <v>94</v>
      </c>
      <c r="B36" s="225">
        <v>0.2</v>
      </c>
      <c r="C36" s="226">
        <v>0</v>
      </c>
      <c r="D36" s="227" t="str">
        <f>IF(ISERROR(VLOOKUP($A36,'[1]liste reference'!$A$6:$B$1174,2,0)),IF(ISERROR(VLOOKUP($A36,'[1]liste reference'!$B$6:$B$1174,1,0)),"",VLOOKUP($A36,'[1]liste reference'!$B$6:$B$1174,1,0)),VLOOKUP($A36,'[1]liste reference'!$A$6:$B$1174,2,0))</f>
        <v>Fissidens crassipes</v>
      </c>
      <c r="E36" s="228" t="e">
        <f>IF(D36="",,VLOOKUP(D36,D$22:D35,1,0))</f>
        <v>#N/A</v>
      </c>
      <c r="F36" s="229">
        <f>IF(AND(OR(A36="",A36="!!!!!!"),B36="",C36=""),"",IF(OR(AND(B36="",C36=""),ISERROR(C36+B36)),"!!!",($B36*$B$7+$C36*$C$7)/100))</f>
        <v>0.17</v>
      </c>
      <c r="G36" s="230" t="str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  <v>BRm</v>
      </c>
      <c r="H36" s="231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5</v>
      </c>
      <c r="I36" s="5">
        <f>IF(A36="","",1)</f>
        <v>1</v>
      </c>
      <c r="J36" s="232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12</v>
      </c>
      <c r="K36" s="232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2</v>
      </c>
      <c r="L36" s="215" t="str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  <v>Fissidens crassipes</v>
      </c>
      <c r="M36" s="233"/>
      <c r="N36" s="233"/>
      <c r="O36" s="233"/>
      <c r="P36" s="234" t="s">
        <v>82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  <v>1294</v>
      </c>
      <c r="R36" s="219">
        <f>IF(ISTEXT(H36),"",(B36*$B$7/100)+(C36*$C$7/100))</f>
        <v>0.17</v>
      </c>
      <c r="S36" s="220">
        <f>IF(OR(ISTEXT(H36),R36=0),"",IF(R36&lt;0.1,1,IF(R36&lt;1,2,IF(R36&lt;10,3,IF(R36&lt;50,4,IF(R36&gt;=50,5,""))))))</f>
        <v>2</v>
      </c>
      <c r="T36" s="220">
        <f>IF(ISERROR(S36*J36),0,S36*J36)</f>
        <v>24</v>
      </c>
      <c r="U36" s="220">
        <f>IF(ISERROR(S36*J36*K36),0,S36*J36*K36)</f>
        <v>48</v>
      </c>
      <c r="V36" s="236">
        <f>IF(ISERROR(S36*K36),0,S36*K36)</f>
        <v>4</v>
      </c>
      <c r="W36" s="237"/>
      <c r="X36" s="238"/>
      <c r="Y36" s="223" t="str">
        <f>IF(AND(ISNUMBER(F36),OR(A36="",A36="!!!!!!")),"!!!!!!",IF(A36="new.cod","NEWCOD",IF(AND((Z36=""),ISTEXT(A36),A36&lt;&gt;"!!!!!!"),A36,IF(Z36="","",INDEX('[1]liste reference'!$A$6:$A$1174,Z36)))))</f>
        <v>FISCRA</v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  <v>255</v>
      </c>
    </row>
    <row r="37" spans="1:26" ht="12.75">
      <c r="A37" s="224" t="s">
        <v>95</v>
      </c>
      <c r="B37" s="225">
        <v>2</v>
      </c>
      <c r="C37" s="226">
        <v>0.5</v>
      </c>
      <c r="D37" s="227" t="str">
        <f>IF(ISERROR(VLOOKUP($A37,'[1]liste reference'!$A$6:$B$1174,2,0)),IF(ISERROR(VLOOKUP($A37,'[1]liste reference'!$B$6:$B$1174,1,0)),"",VLOOKUP($A37,'[1]liste reference'!$B$6:$B$1174,1,0)),VLOOKUP($A37,'[1]liste reference'!$A$6:$B$1174,2,0))</f>
        <v>Fontinalis antipyretica</v>
      </c>
      <c r="E37" s="228" t="e">
        <f>IF(D37="",,VLOOKUP(D37,D$22:D36,1,0))</f>
        <v>#N/A</v>
      </c>
      <c r="F37" s="229">
        <f>IF(AND(OR(A37="",A37="!!!!!!"),B37="",C37=""),"",IF(OR(AND(B37="",C37=""),ISERROR(C37+B37)),"!!!",($B37*$B$7+$C37*$C$7)/100))</f>
        <v>1.775</v>
      </c>
      <c r="G37" s="230" t="str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  <v>BRm</v>
      </c>
      <c r="H37" s="231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5</v>
      </c>
      <c r="I37" s="5">
        <f>IF(A37="","",1)</f>
        <v>1</v>
      </c>
      <c r="J37" s="232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10</v>
      </c>
      <c r="K37" s="232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1</v>
      </c>
      <c r="L37" s="215" t="str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  <v>Fontinalis antipyretica</v>
      </c>
      <c r="M37" s="233"/>
      <c r="N37" s="233"/>
      <c r="O37" s="233"/>
      <c r="P37" s="234" t="s">
        <v>82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  <v>1310</v>
      </c>
      <c r="R37" s="219">
        <f>IF(ISTEXT(H37),"",(B37*$B$7/100)+(C37*$C$7/100))</f>
        <v>1.775</v>
      </c>
      <c r="S37" s="220">
        <f>IF(OR(ISTEXT(H37),R37=0),"",IF(R37&lt;0.1,1,IF(R37&lt;1,2,IF(R37&lt;10,3,IF(R37&lt;50,4,IF(R37&gt;=50,5,""))))))</f>
        <v>3</v>
      </c>
      <c r="T37" s="220">
        <f>IF(ISERROR(S37*J37),0,S37*J37)</f>
        <v>30</v>
      </c>
      <c r="U37" s="220">
        <f>IF(ISERROR(S37*J37*K37),0,S37*J37*K37)</f>
        <v>30</v>
      </c>
      <c r="V37" s="236">
        <f>IF(ISERROR(S37*K37),0,S37*K37)</f>
        <v>3</v>
      </c>
      <c r="W37" s="237"/>
      <c r="X37" s="238"/>
      <c r="Y37" s="223" t="str">
        <f>IF(AND(ISNUMBER(F37),OR(A37="",A37="!!!!!!")),"!!!!!!",IF(A37="new.cod","NEWCOD",IF(AND((Z37=""),ISTEXT(A37),A37&lt;&gt;"!!!!!!"),A37,IF(Z37="","",INDEX('[1]liste reference'!$A$6:$A$1174,Z37)))))</f>
        <v>FONANT</v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  <v>273</v>
      </c>
    </row>
    <row r="38" spans="1:26" ht="12.75">
      <c r="A38" s="224" t="s">
        <v>96</v>
      </c>
      <c r="B38" s="225">
        <v>0.01</v>
      </c>
      <c r="C38" s="226">
        <v>0.01</v>
      </c>
      <c r="D38" s="227" t="str">
        <f>IF(ISERROR(VLOOKUP($A38,'[1]liste reference'!$A$6:$B$1174,2,0)),IF(ISERROR(VLOOKUP($A38,'[1]liste reference'!$B$6:$B$1174,1,0)),"",VLOOKUP($A38,'[1]liste reference'!$B$6:$B$1174,1,0)),VLOOKUP($A38,'[1]liste reference'!$A$6:$B$1174,2,0))</f>
        <v>Hygroamblystegium tenax</v>
      </c>
      <c r="E38" s="228" t="e">
        <f>IF(D38="",,VLOOKUP(D38,D$22:D37,1,0))</f>
        <v>#N/A</v>
      </c>
      <c r="F38" s="229">
        <f>IF(AND(OR(A38="",A38="!!!!!!"),B38="",C38=""),"",IF(OR(AND(B38="",C38=""),ISERROR(C38+B38)),"!!!",($B38*$B$7+$C38*$C$7)/100))</f>
        <v>0.01</v>
      </c>
      <c r="G38" s="230" t="str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  <v>BRm</v>
      </c>
      <c r="H38" s="231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5</v>
      </c>
      <c r="I38" s="5">
        <f>IF(A38="","",1)</f>
        <v>1</v>
      </c>
      <c r="J38" s="232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15</v>
      </c>
      <c r="K38" s="232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2</v>
      </c>
      <c r="L38" s="215" t="str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  <v>Hygroamblystegium tenax</v>
      </c>
      <c r="M38" s="233"/>
      <c r="N38" s="233"/>
      <c r="O38" s="233"/>
      <c r="P38" s="234" t="s">
        <v>82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  <v>31552</v>
      </c>
      <c r="R38" s="219">
        <f>IF(ISTEXT(H38),"",(B38*$B$7/100)+(C38*$C$7/100))</f>
        <v>0.01</v>
      </c>
      <c r="S38" s="220">
        <f>IF(OR(ISTEXT(H38),R38=0),"",IF(R38&lt;0.1,1,IF(R38&lt;1,2,IF(R38&lt;10,3,IF(R38&lt;50,4,IF(R38&gt;=50,5,""))))))</f>
        <v>1</v>
      </c>
      <c r="T38" s="220">
        <f>IF(ISERROR(S38*J38),0,S38*J38)</f>
        <v>15</v>
      </c>
      <c r="U38" s="220">
        <f>IF(ISERROR(S38*J38*K38),0,S38*J38*K38)</f>
        <v>30</v>
      </c>
      <c r="V38" s="236">
        <f>IF(ISERROR(S38*K38),0,S38*K38)</f>
        <v>2</v>
      </c>
      <c r="W38" s="237"/>
      <c r="X38" s="238"/>
      <c r="Y38" s="223" t="str">
        <f>IF(AND(ISNUMBER(F38),OR(A38="",A38="!!!!!!")),"!!!!!!",IF(A38="new.cod","NEWCOD",IF(AND((Z38=""),ISTEXT(A38),A38&lt;&gt;"!!!!!!"),A38,IF(Z38="","",INDEX('[1]liste reference'!$A$6:$A$1174,Z38)))))</f>
        <v>HYATEN</v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  <v>283</v>
      </c>
    </row>
    <row r="39" spans="1:26" ht="12.75">
      <c r="A39" s="224" t="s">
        <v>97</v>
      </c>
      <c r="B39" s="225">
        <v>0.1</v>
      </c>
      <c r="C39" s="226">
        <v>0.1</v>
      </c>
      <c r="D39" s="227" t="str">
        <f>IF(ISERROR(VLOOKUP($A39,'[1]liste reference'!$A$6:$B$1174,2,0)),IF(ISERROR(VLOOKUP($A39,'[1]liste reference'!$B$6:$B$1174,1,0)),"",VLOOKUP($A39,'[1]liste reference'!$B$6:$B$1174,1,0)),VLOOKUP($A39,'[1]liste reference'!$A$6:$B$1174,2,0))</f>
        <v>Leptodictyum riparium </v>
      </c>
      <c r="E39" s="228" t="e">
        <f>IF(D39="",,VLOOKUP(D39,D$22:D38,1,0))</f>
        <v>#N/A</v>
      </c>
      <c r="F39" s="229">
        <f>IF(AND(OR(A39="",A39="!!!!!!"),B39="",C39=""),"",IF(OR(AND(B39="",C39=""),ISERROR(C39+B39)),"!!!",($B39*$B$7+$C39*$C$7)/100))</f>
        <v>0.1</v>
      </c>
      <c r="G39" s="230" t="str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  <v>BRm</v>
      </c>
      <c r="H39" s="231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5</v>
      </c>
      <c r="I39" s="5">
        <f>IF(A39="","",1)</f>
        <v>1</v>
      </c>
      <c r="J39" s="232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5</v>
      </c>
      <c r="K39" s="232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2</v>
      </c>
      <c r="L39" s="215" t="str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  <v>Leptodictyum riparium </v>
      </c>
      <c r="M39" s="233"/>
      <c r="N39" s="233"/>
      <c r="O39" s="233"/>
      <c r="P39" s="234" t="s">
        <v>82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  <v>1244</v>
      </c>
      <c r="R39" s="219">
        <f>IF(ISTEXT(H39),"",(B39*$B$7/100)+(C39*$C$7/100))</f>
        <v>0.1</v>
      </c>
      <c r="S39" s="220">
        <f>IF(OR(ISTEXT(H39),R39=0),"",IF(R39&lt;0.1,1,IF(R39&lt;1,2,IF(R39&lt;10,3,IF(R39&lt;50,4,IF(R39&gt;=50,5,""))))))</f>
        <v>2</v>
      </c>
      <c r="T39" s="220">
        <f>IF(ISERROR(S39*J39),0,S39*J39)</f>
        <v>10</v>
      </c>
      <c r="U39" s="220">
        <f>IF(ISERROR(S39*J39*K39),0,S39*J39*K39)</f>
        <v>20</v>
      </c>
      <c r="V39" s="236">
        <f>IF(ISERROR(S39*K39),0,S39*K39)</f>
        <v>4</v>
      </c>
      <c r="W39" s="237"/>
      <c r="X39" s="238"/>
      <c r="Y39" s="223" t="str">
        <f>IF(AND(ISNUMBER(F39),OR(A39="",A39="!!!!!!")),"!!!!!!",IF(A39="new.cod","NEWCOD",IF(AND((Z39=""),ISTEXT(A39),A39&lt;&gt;"!!!!!!"),A39,IF(Z39="","",INDEX('[1]liste reference'!$A$6:$A$1174,Z39)))))</f>
        <v>LEORIP</v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  <v>298</v>
      </c>
    </row>
    <row r="40" spans="1:26" ht="12.75">
      <c r="A40" s="224" t="s">
        <v>98</v>
      </c>
      <c r="B40" s="225">
        <v>0.02</v>
      </c>
      <c r="C40" s="226">
        <v>0</v>
      </c>
      <c r="D40" s="227" t="str">
        <f>IF(ISERROR(VLOOKUP($A40,'[1]liste reference'!$A$6:$B$1174,2,0)),IF(ISERROR(VLOOKUP($A40,'[1]liste reference'!$B$6:$B$1174,1,0)),"",VLOOKUP($A40,'[1]liste reference'!$B$6:$B$1174,1,0)),VLOOKUP($A40,'[1]liste reference'!$A$6:$B$1174,2,0))</f>
        <v>Palustriella commutata</v>
      </c>
      <c r="E40" s="228" t="e">
        <f>IF(D40="",,VLOOKUP(D40,D$22:D39,1,0))</f>
        <v>#N/A</v>
      </c>
      <c r="F40" s="229">
        <f>IF(AND(OR(A40="",A40="!!!!!!"),B40="",C40=""),"",IF(OR(AND(B40="",C40=""),ISERROR(C40+B40)),"!!!",($B40*$B$7+$C40*$C$7)/100))</f>
        <v>0.017</v>
      </c>
      <c r="G40" s="230" t="str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  <v>BRm</v>
      </c>
      <c r="H40" s="231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5</v>
      </c>
      <c r="I40" s="5">
        <f>IF(A40="","",1)</f>
        <v>1</v>
      </c>
      <c r="J40" s="232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15</v>
      </c>
      <c r="K40" s="232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2</v>
      </c>
      <c r="L40" s="215" t="str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  <v>Palustriella commutata</v>
      </c>
      <c r="M40" s="233"/>
      <c r="N40" s="233"/>
      <c r="O40" s="233"/>
      <c r="P40" s="234" t="s">
        <v>82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  <v>19903</v>
      </c>
      <c r="R40" s="219">
        <f>IF(ISTEXT(H40),"",(B40*$B$7/100)+(C40*$C$7/100))</f>
        <v>0.017</v>
      </c>
      <c r="S40" s="220">
        <f>IF(OR(ISTEXT(H40),R40=0),"",IF(R40&lt;0.1,1,IF(R40&lt;1,2,IF(R40&lt;10,3,IF(R40&lt;50,4,IF(R40&gt;=50,5,""))))))</f>
        <v>1</v>
      </c>
      <c r="T40" s="220">
        <f>IF(ISERROR(S40*J40),0,S40*J40)</f>
        <v>15</v>
      </c>
      <c r="U40" s="220">
        <f>IF(ISERROR(S40*J40*K40),0,S40*J40*K40)</f>
        <v>30</v>
      </c>
      <c r="V40" s="236">
        <f>IF(ISERROR(S40*K40),0,S40*K40)</f>
        <v>2</v>
      </c>
      <c r="W40" s="237"/>
      <c r="X40" s="238"/>
      <c r="Y40" s="223" t="str">
        <f>IF(AND(ISNUMBER(F40),OR(A40="",A40="!!!!!!")),"!!!!!!",IF(A40="new.cod","NEWCOD",IF(AND((Z40=""),ISTEXT(A40),A40&lt;&gt;"!!!!!!"),A40,IF(Z40="","",INDEX('[1]liste reference'!$A$6:$A$1174,Z40)))))</f>
        <v>PALCOM</v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  <v>309</v>
      </c>
    </row>
    <row r="41" spans="1:26" ht="12.75">
      <c r="A41" s="224" t="s">
        <v>99</v>
      </c>
      <c r="B41" s="225">
        <v>0</v>
      </c>
      <c r="C41" s="226">
        <v>0.5</v>
      </c>
      <c r="D41" s="227" t="str">
        <f>IF(ISERROR(VLOOKUP($A41,'[1]liste reference'!$A$6:$B$1174,2,0)),IF(ISERROR(VLOOKUP($A41,'[1]liste reference'!$B$6:$B$1174,1,0)),"",VLOOKUP($A41,'[1]liste reference'!$B$6:$B$1174,1,0)),VLOOKUP($A41,'[1]liste reference'!$A$6:$B$1174,2,0))</f>
        <v>Rhynchostegium riparioides</v>
      </c>
      <c r="E41" s="228" t="e">
        <f>IF(D41="",,VLOOKUP(D41,D$22:D40,1,0))</f>
        <v>#N/A</v>
      </c>
      <c r="F41" s="229">
        <f>IF(AND(OR(A41="",A41="!!!!!!"),B41="",C41=""),"",IF(OR(AND(B41="",C41=""),ISERROR(C41+B41)),"!!!",($B41*$B$7+$C41*$C$7)/100))</f>
        <v>0.075</v>
      </c>
      <c r="G41" s="230" t="str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  <v>BRm</v>
      </c>
      <c r="H41" s="231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5</v>
      </c>
      <c r="I41" s="5">
        <f>IF(A41="","",1)</f>
        <v>1</v>
      </c>
      <c r="J41" s="232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12</v>
      </c>
      <c r="K41" s="232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1</v>
      </c>
      <c r="L41" s="215" t="str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  <v>Rhynchostegium riparioides</v>
      </c>
      <c r="M41" s="233"/>
      <c r="N41" s="233"/>
      <c r="O41" s="233"/>
      <c r="P41" s="234" t="s">
        <v>82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  <v>31691</v>
      </c>
      <c r="R41" s="219">
        <f>IF(ISTEXT(H41),"",(B41*$B$7/100)+(C41*$C$7/100))</f>
        <v>0.075</v>
      </c>
      <c r="S41" s="220">
        <f>IF(OR(ISTEXT(H41),R41=0),"",IF(R41&lt;0.1,1,IF(R41&lt;1,2,IF(R41&lt;10,3,IF(R41&lt;50,4,IF(R41&gt;=50,5,""))))))</f>
        <v>1</v>
      </c>
      <c r="T41" s="220">
        <f>IF(ISERROR(S41*J41),0,S41*J41)</f>
        <v>12</v>
      </c>
      <c r="U41" s="220">
        <f>IF(ISERROR(S41*J41*K41),0,S41*J41*K41)</f>
        <v>12</v>
      </c>
      <c r="V41" s="236">
        <f>IF(ISERROR(S41*K41),0,S41*K41)</f>
        <v>1</v>
      </c>
      <c r="W41" s="237"/>
      <c r="X41" s="238"/>
      <c r="Y41" s="223" t="str">
        <f>IF(AND(ISNUMBER(F41),OR(A41="",A41="!!!!!!")),"!!!!!!",IF(A41="new.cod","NEWCOD",IF(AND((Z41=""),ISTEXT(A41),A41&lt;&gt;"!!!!!!"),A41,IF(Z41="","",INDEX('[1]liste reference'!$A$6:$A$1174,Z41)))))</f>
        <v>RHYRIP</v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  <v>345</v>
      </c>
    </row>
    <row r="42" spans="1:26" ht="12.75">
      <c r="A42" s="224" t="s">
        <v>100</v>
      </c>
      <c r="B42" s="225">
        <v>0</v>
      </c>
      <c r="C42" s="226">
        <v>0.01</v>
      </c>
      <c r="D42" s="227" t="str">
        <f>IF(ISERROR(VLOOKUP($A42,'[1]liste reference'!$A$6:$B$1174,2,0)),IF(ISERROR(VLOOKUP($A42,'[1]liste reference'!$B$6:$B$1174,1,0)),"",VLOOKUP($A42,'[1]liste reference'!$B$6:$B$1174,1,0)),VLOOKUP($A42,'[1]liste reference'!$A$6:$B$1174,2,0))</f>
        <v>Mentha sp.</v>
      </c>
      <c r="E42" s="228" t="e">
        <f>IF(D42="",,VLOOKUP(D42,D$22:D41,1,0))</f>
        <v>#N/A</v>
      </c>
      <c r="F42" s="229">
        <f>IF(AND(OR(A42="",A42="!!!!!!"),B42="",C42=""),"",IF(OR(AND(B42="",C42=""),ISERROR(C42+B42)),"!!!",($B42*$B$7+$C42*$C$7)/100))</f>
        <v>0.0015</v>
      </c>
      <c r="G42" s="230" t="str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  <v>PHx</v>
      </c>
      <c r="H42" s="231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10</v>
      </c>
      <c r="I42" s="5">
        <f>IF(A42="","",1)</f>
        <v>1</v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nc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nc</v>
      </c>
      <c r="L42" s="215" t="str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  <v>Mentha sp.</v>
      </c>
      <c r="M42" s="233"/>
      <c r="N42" s="233"/>
      <c r="O42" s="233"/>
      <c r="P42" s="234" t="s">
        <v>82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  <v>1790</v>
      </c>
      <c r="R42" s="219">
        <f>IF(ISTEXT(H42),"",(B42*$B$7/100)+(C42*$C$7/100))</f>
        <v>0.0015</v>
      </c>
      <c r="S42" s="220">
        <f>IF(OR(ISTEXT(H42),R42=0),"",IF(R42&lt;0.1,1,IF(R42&lt;1,2,IF(R42&lt;10,3,IF(R42&lt;50,4,IF(R42&gt;=50,5,""))))))</f>
        <v>1</v>
      </c>
      <c r="T42" s="220">
        <f>IF(ISERROR(S42*J42),0,S42*J42)</f>
        <v>0</v>
      </c>
      <c r="U42" s="220">
        <f>IF(ISERROR(S42*J42*K42),0,S42*J42*K42)</f>
        <v>0</v>
      </c>
      <c r="V42" s="236">
        <f>IF(ISERROR(S42*K42),0,S42*K42)</f>
        <v>0</v>
      </c>
      <c r="W42" s="237"/>
      <c r="X42" s="238"/>
      <c r="Y42" s="223" t="str">
        <f>IF(AND(ISNUMBER(F42),OR(A42="",A42="!!!!!!")),"!!!!!!",IF(A42="new.cod","NEWCOD",IF(AND((Z42=""),ISTEXT(A42),A42&lt;&gt;"!!!!!!"),A42,IF(Z42="","",INDEX('[1]liste reference'!$A$6:$A$1174,Z42)))))</f>
        <v>MENSPX</v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  <v>1098</v>
      </c>
    </row>
    <row r="43" spans="1:26" ht="12.75">
      <c r="A43" s="224" t="s">
        <v>101</v>
      </c>
      <c r="B43" s="225">
        <v>0.01</v>
      </c>
      <c r="C43" s="226">
        <v>0</v>
      </c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>IF(AND(OR(A43="",A43="!!!!!!"),B43="",C43=""),"",IF(OR(AND(B43="",C43=""),ISERROR(C43+B43)),"!!!",($B43*$B$7+$C43*$C$7)/100))</f>
        <v>0.0085</v>
      </c>
      <c r="G43" s="230" t="str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  <v>    -</v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>IF(A43="","",1)</f>
        <v>1</v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 t="str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  <v>Hydrococcus sp.</v>
      </c>
      <c r="M43" s="233"/>
      <c r="N43" s="233"/>
      <c r="O43" s="233"/>
      <c r="P43" s="234" t="s">
        <v>82</v>
      </c>
      <c r="Q43" s="235" t="str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  <v>NoCod</v>
      </c>
      <c r="R43" s="219">
        <f>IF(ISTEXT(H43),"",(B43*$B$7/100)+(C43*$C$7/100))</f>
      </c>
      <c r="S43" s="220">
        <f>IF(OR(ISTEXT(H43),R43=0),"",IF(R43&lt;0.1,1,IF(R43&lt;1,2,IF(R43&lt;10,3,IF(R43&lt;50,4,IF(R43&gt;=50,5,""))))))</f>
      </c>
      <c r="T43" s="220">
        <f>IF(ISERROR(S43*J43),0,S43*J43)</f>
        <v>0</v>
      </c>
      <c r="U43" s="220">
        <f>IF(ISERROR(S43*J43*K43),0,S43*J43*K43)</f>
        <v>0</v>
      </c>
      <c r="V43" s="236">
        <f>IF(ISERROR(S43*K43),0,S43*K43)</f>
        <v>0</v>
      </c>
      <c r="W43" s="237" t="s">
        <v>102</v>
      </c>
      <c r="X43" s="238"/>
      <c r="Y43" s="223" t="str">
        <f>IF(AND(ISNUMBER(F43),OR(A43="",A43="!!!!!!")),"!!!!!!",IF(A43="new.cod","NEWCOD",IF(AND((Z43=""),ISTEXT(A43),A43&lt;&gt;"!!!!!!"),A43,IF(Z43="","",INDEX('[1]liste reference'!$A$6:$A$1174,Z43)))))</f>
        <v>newcod</v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56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>IF(AND(OR(A44="",A44="!!!!!!"),B44="",C44=""),"",IF(OR(AND(B44="",C44=""),ISERROR(C44+B44)),"!!!",($B44*$B$7+$C44*$C$7)/100))</f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>IF(A44="","",1)</f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82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>IF(ISTEXT(H44),"",(B44*$B$7/100)+(C44*$C$7/100))</f>
      </c>
      <c r="S44" s="220">
        <f>IF(OR(ISTEXT(H44),R44=0),"",IF(R44&lt;0.1,1,IF(R44&lt;1,2,IF(R44&lt;10,3,IF(R44&lt;50,4,IF(R44&gt;=50,5,""))))))</f>
      </c>
      <c r="T44" s="220">
        <f>IF(ISERROR(S44*J44),0,S44*J44)</f>
        <v>0</v>
      </c>
      <c r="U44" s="220">
        <f>IF(ISERROR(S44*J44*K44),0,S44*J44*K44)</f>
        <v>0</v>
      </c>
      <c r="V44" s="236">
        <f>IF(ISERROR(S44*K44),0,S44*K44)</f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56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>IF(AND(OR(A45="",A45="!!!!!!"),B45="",C45=""),"",IF(OR(AND(B45="",C45=""),ISERROR(C45+B45)),"!!!",($B45*$B$7+$C45*$C$7)/100))</f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>IF(A45="","",1)</f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82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>IF(ISTEXT(H45),"",(B45*$B$7/100)+(C45*$C$7/100))</f>
      </c>
      <c r="S45" s="220">
        <f>IF(OR(ISTEXT(H45),R45=0),"",IF(R45&lt;0.1,1,IF(R45&lt;1,2,IF(R45&lt;10,3,IF(R45&lt;50,4,IF(R45&gt;=50,5,""))))))</f>
      </c>
      <c r="T45" s="220">
        <f>IF(ISERROR(S45*J45),0,S45*J45)</f>
        <v>0</v>
      </c>
      <c r="U45" s="220">
        <f>IF(ISERROR(S45*J45*K45),0,S45*J45*K45)</f>
        <v>0</v>
      </c>
      <c r="V45" s="236">
        <f>IF(ISERROR(S45*K45),0,S45*K45)</f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56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>IF(AND(OR(A46="",A46="!!!!!!"),B46="",C46=""),"",IF(OR(AND(B46="",C46=""),ISERROR(C46+B46)),"!!!",($B46*$B$7+$C46*$C$7)/100))</f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>IF(A46="","",1)</f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82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>IF(ISTEXT(H46),"",(B46*$B$7/100)+(C46*$C$7/100))</f>
      </c>
      <c r="S46" s="220">
        <f>IF(OR(ISTEXT(H46),R46=0),"",IF(R46&lt;0.1,1,IF(R46&lt;1,2,IF(R46&lt;10,3,IF(R46&lt;50,4,IF(R46&gt;=50,5,""))))))</f>
      </c>
      <c r="T46" s="220">
        <f>IF(ISERROR(S46*J46),0,S46*J46)</f>
        <v>0</v>
      </c>
      <c r="U46" s="220">
        <f>IF(ISERROR(S46*J46*K46),0,S46*J46*K46)</f>
        <v>0</v>
      </c>
      <c r="V46" s="236">
        <f>IF(ISERROR(S46*K46),0,S46*K46)</f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56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>IF(AND(OR(A47="",A47="!!!!!!"),B47="",C47=""),"",IF(OR(AND(B47="",C47=""),ISERROR(C47+B47)),"!!!",($B47*$B$7+$C47*$C$7)/100))</f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>IF(A47="","",1)</f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82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>IF(ISTEXT(H47),"",(B47*$B$7/100)+(C47*$C$7/100))</f>
      </c>
      <c r="S47" s="220">
        <f>IF(OR(ISTEXT(H47),R47=0),"",IF(R47&lt;0.1,1,IF(R47&lt;1,2,IF(R47&lt;10,3,IF(R47&lt;50,4,IF(R47&gt;=50,5,""))))))</f>
      </c>
      <c r="T47" s="220">
        <f>IF(ISERROR(S47*J47),0,S47*J47)</f>
        <v>0</v>
      </c>
      <c r="U47" s="220">
        <f>IF(ISERROR(S47*J47*K47),0,S47*J47*K47)</f>
        <v>0</v>
      </c>
      <c r="V47" s="236">
        <f>IF(ISERROR(S47*K47),0,S47*K47)</f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56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>IF(AND(OR(A48="",A48="!!!!!!"),B48="",C48=""),"",IF(OR(AND(B48="",C48=""),ISERROR(C48+B48)),"!!!",($B48*$B$7+$C48*$C$7)/100))</f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>IF(A48="","",1)</f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82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>IF(ISTEXT(H48),"",(B48*$B$7/100)+(C48*$C$7/100))</f>
      </c>
      <c r="S48" s="220">
        <f>IF(OR(ISTEXT(H48),R48=0),"",IF(R48&lt;0.1,1,IF(R48&lt;1,2,IF(R48&lt;10,3,IF(R48&lt;50,4,IF(R48&gt;=50,5,""))))))</f>
      </c>
      <c r="T48" s="220">
        <f>IF(ISERROR(S48*J48),0,S48*J48)</f>
        <v>0</v>
      </c>
      <c r="U48" s="220">
        <f>IF(ISERROR(S48*J48*K48),0,S48*J48*K48)</f>
        <v>0</v>
      </c>
      <c r="V48" s="236">
        <f>IF(ISERROR(S48*K48),0,S48*K48)</f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56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>IF(AND(OR(A49="",A49="!!!!!!"),B49="",C49=""),"",IF(OR(AND(B49="",C49=""),ISERROR(C49+B49)),"!!!",($B49*$B$7+$C49*$C$7)/100))</f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>IF(A49="","",1)</f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82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>IF(ISTEXT(H49),"",(B49*$B$7/100)+(C49*$C$7/100))</f>
      </c>
      <c r="S49" s="220">
        <f>IF(OR(ISTEXT(H49),R49=0),"",IF(R49&lt;0.1,1,IF(R49&lt;1,2,IF(R49&lt;10,3,IF(R49&lt;50,4,IF(R49&gt;=50,5,""))))))</f>
      </c>
      <c r="T49" s="220">
        <f>IF(ISERROR(S49*J49),0,S49*J49)</f>
        <v>0</v>
      </c>
      <c r="U49" s="220">
        <f>IF(ISERROR(S49*J49*K49),0,S49*J49*K49)</f>
        <v>0</v>
      </c>
      <c r="V49" s="236">
        <f>IF(ISERROR(S49*K49),0,S49*K49)</f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56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>IF(AND(OR(A50="",A50="!!!!!!"),B50="",C50=""),"",IF(OR(AND(B50="",C50=""),ISERROR(C50+B50)),"!!!",($B50*$B$7+$C50*$C$7)/100))</f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>IF(A50="","",1)</f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82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>IF(ISTEXT(H50),"",(B50*$B$7/100)+(C50*$C$7/100))</f>
      </c>
      <c r="S50" s="220">
        <f>IF(OR(ISTEXT(H50),R50=0),"",IF(R50&lt;0.1,1,IF(R50&lt;1,2,IF(R50&lt;10,3,IF(R50&lt;50,4,IF(R50&gt;=50,5,""))))))</f>
      </c>
      <c r="T50" s="220">
        <f>IF(ISERROR(S50*J50),0,S50*J50)</f>
        <v>0</v>
      </c>
      <c r="U50" s="220">
        <f>IF(ISERROR(S50*J50*K50),0,S50*J50*K50)</f>
        <v>0</v>
      </c>
      <c r="V50" s="236">
        <f>IF(ISERROR(S50*K50),0,S50*K50)</f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56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>IF(AND(OR(A51="",A51="!!!!!!"),B51="",C51=""),"",IF(OR(AND(B51="",C51=""),ISERROR(C51+B51)),"!!!",($B51*$B$7+$C51*$C$7)/100))</f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>IF(A51="","",1)</f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82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>IF(ISTEXT(H51),"",(B51*$B$7/100)+(C51*$C$7/100))</f>
      </c>
      <c r="S51" s="220">
        <f>IF(OR(ISTEXT(H51),R51=0),"",IF(R51&lt;0.1,1,IF(R51&lt;1,2,IF(R51&lt;10,3,IF(R51&lt;50,4,IF(R51&gt;=50,5,""))))))</f>
      </c>
      <c r="T51" s="220">
        <f>IF(ISERROR(S51*J51),0,S51*J51)</f>
        <v>0</v>
      </c>
      <c r="U51" s="220">
        <f>IF(ISERROR(S51*J51*K51),0,S51*J51*K51)</f>
        <v>0</v>
      </c>
      <c r="V51" s="236">
        <f>IF(ISERROR(S51*K51),0,S51*K51)</f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56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>IF(AND(OR(A52="",A52="!!!!!!"),B52="",C52=""),"",IF(OR(AND(B52="",C52=""),ISERROR(C52+B52)),"!!!",($B52*$B$7+$C52*$C$7)/100))</f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>IF(A52="","",1)</f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82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>IF(ISTEXT(H52),"",(B52*$B$7/100)+(C52*$C$7/100))</f>
      </c>
      <c r="S52" s="220">
        <f>IF(OR(ISTEXT(H52),R52=0),"",IF(R52&lt;0.1,1,IF(R52&lt;1,2,IF(R52&lt;10,3,IF(R52&lt;50,4,IF(R52&gt;=50,5,""))))))</f>
      </c>
      <c r="T52" s="220">
        <f>IF(ISERROR(S52*J52),0,S52*J52)</f>
        <v>0</v>
      </c>
      <c r="U52" s="220">
        <f>IF(ISERROR(S52*J52*K52),0,S52*J52*K52)</f>
        <v>0</v>
      </c>
      <c r="V52" s="236">
        <f>IF(ISERROR(S52*K52),0,S52*K52)</f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56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>IF(AND(OR(A53="",A53="!!!!!!"),B53="",C53=""),"",IF(OR(AND(B53="",C53=""),ISERROR(C53+B53)),"!!!",($B53*$B$7+$C53*$C$7)/100))</f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>IF(A53="","",1)</f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82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>IF(ISTEXT(H53),"",(B53*$B$7/100)+(C53*$C$7/100))</f>
      </c>
      <c r="S53" s="220">
        <f>IF(OR(ISTEXT(H53),R53=0),"",IF(R53&lt;0.1,1,IF(R53&lt;1,2,IF(R53&lt;10,3,IF(R53&lt;50,4,IF(R53&gt;=50,5,""))))))</f>
      </c>
      <c r="T53" s="220">
        <f>IF(ISERROR(S53*J53),0,S53*J53)</f>
        <v>0</v>
      </c>
      <c r="U53" s="220">
        <f>IF(ISERROR(S53*J53*K53),0,S53*J53*K53)</f>
        <v>0</v>
      </c>
      <c r="V53" s="236">
        <f>IF(ISERROR(S53*K53),0,S53*K53)</f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56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>IF(AND(OR(A54="",A54="!!!!!!"),B54="",C54=""),"",IF(OR(AND(B54="",C54=""),ISERROR(C54+B54)),"!!!",($B54*$B$7+$C54*$C$7)/100))</f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>IF(A54="","",1)</f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82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>IF(ISTEXT(H54),"",(B54*$B$7/100)+(C54*$C$7/100))</f>
      </c>
      <c r="S54" s="220">
        <f>IF(OR(ISTEXT(H54),R54=0),"",IF(R54&lt;0.1,1,IF(R54&lt;1,2,IF(R54&lt;10,3,IF(R54&lt;50,4,IF(R54&gt;=50,5,""))))))</f>
      </c>
      <c r="T54" s="220">
        <f>IF(ISERROR(S54*J54),0,S54*J54)</f>
        <v>0</v>
      </c>
      <c r="U54" s="220">
        <f>IF(ISERROR(S54*J54*K54),0,S54*J54*K54)</f>
        <v>0</v>
      </c>
      <c r="V54" s="236">
        <f>IF(ISERROR(S54*K54),0,S54*K54)</f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56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>IF(AND(OR(A55="",A55="!!!!!!"),B55="",C55=""),"",IF(OR(AND(B55="",C55=""),ISERROR(C55+B55)),"!!!",($B55*$B$7+$C55*$C$7)/100))</f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>IF(A55="","",1)</f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82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>IF(ISTEXT(H55),"",(B55*$B$7/100)+(C55*$C$7/100))</f>
      </c>
      <c r="S55" s="220">
        <f>IF(OR(ISTEXT(H55),R55=0),"",IF(R55&lt;0.1,1,IF(R55&lt;1,2,IF(R55&lt;10,3,IF(R55&lt;50,4,IF(R55&gt;=50,5,""))))))</f>
      </c>
      <c r="T55" s="220">
        <f>IF(ISERROR(S55*J55),0,S55*J55)</f>
        <v>0</v>
      </c>
      <c r="U55" s="220">
        <f>IF(ISERROR(S55*J55*K55),0,S55*J55*K55)</f>
        <v>0</v>
      </c>
      <c r="V55" s="236">
        <f>IF(ISERROR(S55*K55),0,S55*K55)</f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56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>IF(AND(OR(A56="",A56="!!!!!!"),B56="",C56=""),"",IF(OR(AND(B56="",C56=""),ISERROR(C56+B56)),"!!!",($B56*$B$7+$C56*$C$7)/100))</f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>IF(A56="","",1)</f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82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>IF(ISTEXT(H56),"",(B56*$B$7/100)+(C56*$C$7/100))</f>
      </c>
      <c r="S56" s="220">
        <f>IF(OR(ISTEXT(H56),R56=0),"",IF(R56&lt;0.1,1,IF(R56&lt;1,2,IF(R56&lt;10,3,IF(R56&lt;50,4,IF(R56&gt;=50,5,""))))))</f>
      </c>
      <c r="T56" s="220">
        <f>IF(ISERROR(S56*J56),0,S56*J56)</f>
        <v>0</v>
      </c>
      <c r="U56" s="220">
        <f>IF(ISERROR(S56*J56*K56),0,S56*J56*K56)</f>
        <v>0</v>
      </c>
      <c r="V56" s="236">
        <f>IF(ISERROR(S56*K56),0,S56*K56)</f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56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>IF(AND(OR(A57="",A57="!!!!!!"),B57="",C57=""),"",IF(OR(AND(B57="",C57=""),ISERROR(C57+B57)),"!!!",($B57*$B$7+$C57*$C$7)/100))</f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>IF(A57="","",1)</f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82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>IF(ISTEXT(H57),"",(B57*$B$7/100)+(C57*$C$7/100))</f>
      </c>
      <c r="S57" s="220">
        <f>IF(OR(ISTEXT(H57),R57=0),"",IF(R57&lt;0.1,1,IF(R57&lt;1,2,IF(R57&lt;10,3,IF(R57&lt;50,4,IF(R57&gt;=50,5,""))))))</f>
      </c>
      <c r="T57" s="220">
        <f>IF(ISERROR(S57*J57),0,S57*J57)</f>
        <v>0</v>
      </c>
      <c r="U57" s="220">
        <f>IF(ISERROR(S57*J57*K57),0,S57*J57*K57)</f>
        <v>0</v>
      </c>
      <c r="V57" s="236">
        <f>IF(ISERROR(S57*K57),0,S57*K57)</f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56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>IF(AND(OR(A58="",A58="!!!!!!"),B58="",C58=""),"",IF(OR(AND(B58="",C58=""),ISERROR(C58+B58)),"!!!",($B58*$B$7+$C58*$C$7)/100))</f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>IF(A58="","",1)</f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82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>IF(ISTEXT(H58),"",(B58*$B$7/100)+(C58*$C$7/100))</f>
      </c>
      <c r="S58" s="220">
        <f>IF(OR(ISTEXT(H58),R58=0),"",IF(R58&lt;0.1,1,IF(R58&lt;1,2,IF(R58&lt;10,3,IF(R58&lt;50,4,IF(R58&gt;=50,5,""))))))</f>
      </c>
      <c r="T58" s="220">
        <f>IF(ISERROR(S58*J58),0,S58*J58)</f>
        <v>0</v>
      </c>
      <c r="U58" s="220">
        <f>IF(ISERROR(S58*J58*K58),0,S58*J58*K58)</f>
        <v>0</v>
      </c>
      <c r="V58" s="236">
        <f>IF(ISERROR(S58*K58),0,S58*K58)</f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56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>IF(AND(OR(A59="",A59="!!!!!!"),B59="",C59=""),"",IF(OR(AND(B59="",C59=""),ISERROR(C59+B59)),"!!!",($B59*$B$7+$C59*$C$7)/100))</f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>IF(A59="","",1)</f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82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>IF(ISTEXT(H59),"",(B59*$B$7/100)+(C59*$C$7/100))</f>
      </c>
      <c r="S59" s="220">
        <f>IF(OR(ISTEXT(H59),R59=0),"",IF(R59&lt;0.1,1,IF(R59&lt;1,2,IF(R59&lt;10,3,IF(R59&lt;50,4,IF(R59&gt;=50,5,""))))))</f>
      </c>
      <c r="T59" s="220">
        <f>IF(ISERROR(S59*J59),0,S59*J59)</f>
        <v>0</v>
      </c>
      <c r="U59" s="220">
        <f>IF(ISERROR(S59*J59*K59),0,S59*J59*K59)</f>
        <v>0</v>
      </c>
      <c r="V59" s="236">
        <f>IF(ISERROR(S59*K59),0,S59*K59)</f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56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>IF(AND(OR(A60="",A60="!!!!!!"),B60="",C60=""),"",IF(OR(AND(B60="",C60=""),ISERROR(C60+B60)),"!!!",($B60*$B$7+$C60*$C$7)/100))</f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>IF(A60="","",1)</f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82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>IF(ISTEXT(H60),"",(B60*$B$7/100)+(C60*$C$7/100))</f>
      </c>
      <c r="S60" s="220">
        <f>IF(OR(ISTEXT(H60),R60=0),"",IF(R60&lt;0.1,1,IF(R60&lt;1,2,IF(R60&lt;10,3,IF(R60&lt;50,4,IF(R60&gt;=50,5,""))))))</f>
      </c>
      <c r="T60" s="220">
        <f>IF(ISERROR(S60*J60),0,S60*J60)</f>
        <v>0</v>
      </c>
      <c r="U60" s="220">
        <f>IF(ISERROR(S60*J60*K60),0,S60*J60*K60)</f>
        <v>0</v>
      </c>
      <c r="V60" s="236">
        <f>IF(ISERROR(S60*K60),0,S60*K60)</f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56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>IF(AND(OR(A61="",A61="!!!!!!"),B61="",C61=""),"",IF(OR(AND(B61="",C61=""),ISERROR(C61+B61)),"!!!",($B61*$B$7+$C61*$C$7)/100))</f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>IF(A61="","",1)</f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82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>IF(ISTEXT(H61),"",(B61*$B$7/100)+(C61*$C$7/100))</f>
      </c>
      <c r="S61" s="220">
        <f>IF(OR(ISTEXT(H61),R61=0),"",IF(R61&lt;0.1,1,IF(R61&lt;1,2,IF(R61&lt;10,3,IF(R61&lt;50,4,IF(R61&gt;=50,5,""))))))</f>
      </c>
      <c r="T61" s="220">
        <f>IF(ISERROR(S61*J61),0,S61*J61)</f>
        <v>0</v>
      </c>
      <c r="U61" s="220">
        <f>IF(ISERROR(S61*J61*K61),0,S61*J61*K61)</f>
        <v>0</v>
      </c>
      <c r="V61" s="236">
        <f>IF(ISERROR(S61*K61),0,S61*K61)</f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56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>IF(AND(OR(A62="",A62="!!!!!!"),B62="",C62=""),"",IF(OR(AND(B62="",C62=""),ISERROR(C62+B62)),"!!!",($B62*$B$7+$C62*$C$7)/100))</f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>IF(A62="","",1)</f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82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>IF(ISTEXT(H62),"",(B62*$B$7/100)+(C62*$C$7/100))</f>
      </c>
      <c r="S62" s="220">
        <f>IF(OR(ISTEXT(H62),R62=0),"",IF(R62&lt;0.1,1,IF(R62&lt;1,2,IF(R62&lt;10,3,IF(R62&lt;50,4,IF(R62&gt;=50,5,""))))))</f>
      </c>
      <c r="T62" s="220">
        <f>IF(ISERROR(S62*J62),0,S62*J62)</f>
        <v>0</v>
      </c>
      <c r="U62" s="220">
        <f>IF(ISERROR(S62*J62*K62),0,S62*J62*K62)</f>
        <v>0</v>
      </c>
      <c r="V62" s="236">
        <f>IF(ISERROR(S62*K62),0,S62*K62)</f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56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>IF(AND(OR(A63="",A63="!!!!!!"),B63="",C63=""),"",IF(OR(AND(B63="",C63=""),ISERROR(C63+B63)),"!!!",($B63*$B$7+$C63*$C$7)/100))</f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>IF(A63="","",1)</f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82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>IF(ISTEXT(H63),"",(B63*$B$7/100)+(C63*$C$7/100))</f>
      </c>
      <c r="S63" s="220">
        <f>IF(OR(ISTEXT(H63),R63=0),"",IF(R63&lt;0.1,1,IF(R63&lt;1,2,IF(R63&lt;10,3,IF(R63&lt;50,4,IF(R63&gt;=50,5,""))))))</f>
      </c>
      <c r="T63" s="220">
        <f>IF(ISERROR(S63*J63),0,S63*J63)</f>
        <v>0</v>
      </c>
      <c r="U63" s="220">
        <f>IF(ISERROR(S63*J63*K63),0,S63*J63*K63)</f>
        <v>0</v>
      </c>
      <c r="V63" s="236">
        <f>IF(ISERROR(S63*K63),0,S63*K63)</f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56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>IF(AND(OR(A64="",A64="!!!!!!"),B64="",C64=""),"",IF(OR(AND(B64="",C64=""),ISERROR(C64+B64)),"!!!",($B64*$B$7+$C64*$C$7)/100))</f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>IF(A64="","",1)</f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82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>IF(ISTEXT(H64),"",(B64*$B$7/100)+(C64*$C$7/100))</f>
      </c>
      <c r="S64" s="220">
        <f>IF(OR(ISTEXT(H64),R64=0),"",IF(R64&lt;0.1,1,IF(R64&lt;1,2,IF(R64&lt;10,3,IF(R64&lt;50,4,IF(R64&gt;=50,5,""))))))</f>
      </c>
      <c r="T64" s="220">
        <f>IF(ISERROR(S64*J64),0,S64*J64)</f>
        <v>0</v>
      </c>
      <c r="U64" s="220">
        <f>IF(ISERROR(S64*J64*K64),0,S64*J64*K64)</f>
        <v>0</v>
      </c>
      <c r="V64" s="236">
        <f>IF(ISERROR(S64*K64),0,S64*K64)</f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56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>IF(AND(OR(A65="",A65="!!!!!!"),B65="",C65=""),"",IF(OR(AND(B65="",C65=""),ISERROR(C65+B65)),"!!!",($B65*$B$7+$C65*$C$7)/100))</f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>IF(A65="","",1)</f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82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>IF(ISTEXT(H65),"",(B65*$B$7/100)+(C65*$C$7/100))</f>
      </c>
      <c r="S65" s="220">
        <f>IF(OR(ISTEXT(H65),R65=0),"",IF(R65&lt;0.1,1,IF(R65&lt;1,2,IF(R65&lt;10,3,IF(R65&lt;50,4,IF(R65&gt;=50,5,""))))))</f>
      </c>
      <c r="T65" s="220">
        <f>IF(ISERROR(S65*J65),0,S65*J65)</f>
        <v>0</v>
      </c>
      <c r="U65" s="220">
        <f>IF(ISERROR(S65*J65*K65),0,S65*J65*K65)</f>
        <v>0</v>
      </c>
      <c r="V65" s="236">
        <f>IF(ISERROR(S65*K65),0,S65*K65)</f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56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>IF(AND(OR(A66="",A66="!!!!!!"),B66="",C66=""),"",IF(OR(AND(B66="",C66=""),ISERROR(C66+B66)),"!!!",($B66*$B$7+$C66*$C$7)/100))</f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>IF(A66="","",1)</f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82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>IF(ISTEXT(H66),"",(B66*$B$7/100)+(C66*$C$7/100))</f>
      </c>
      <c r="S66" s="220">
        <f>IF(OR(ISTEXT(H66),R66=0),"",IF(R66&lt;0.1,1,IF(R66&lt;1,2,IF(R66&lt;10,3,IF(R66&lt;50,4,IF(R66&gt;=50,5,""))))))</f>
      </c>
      <c r="T66" s="220">
        <f>IF(ISERROR(S66*J66),0,S66*J66)</f>
        <v>0</v>
      </c>
      <c r="U66" s="220">
        <f>IF(ISERROR(S66*J66*K66),0,S66*J66*K66)</f>
        <v>0</v>
      </c>
      <c r="V66" s="236">
        <f>IF(ISERROR(S66*K66),0,S66*K66)</f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56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>IF(AND(OR(A67="",A67="!!!!!!"),B67="",C67=""),"",IF(OR(AND(B67="",C67=""),ISERROR(C67+B67)),"!!!",($B67*$B$7+$C67*$C$7)/100))</f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>IF(A67="","",1)</f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82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>IF(ISTEXT(H67),"",(B67*$B$7/100)+(C67*$C$7/100))</f>
      </c>
      <c r="S67" s="220">
        <f>IF(OR(ISTEXT(H67),R67=0),"",IF(R67&lt;0.1,1,IF(R67&lt;1,2,IF(R67&lt;10,3,IF(R67&lt;50,4,IF(R67&gt;=50,5,""))))))</f>
      </c>
      <c r="T67" s="220">
        <f>IF(ISERROR(S67*J67),0,S67*J67)</f>
        <v>0</v>
      </c>
      <c r="U67" s="220">
        <f>IF(ISERROR(S67*J67*K67),0,S67*J67*K67)</f>
        <v>0</v>
      </c>
      <c r="V67" s="236">
        <f>IF(ISERROR(S67*K67),0,S67*K67)</f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56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>IF(AND(OR(A68="",A68="!!!!!!"),B68="",C68=""),"",IF(OR(AND(B68="",C68=""),ISERROR(C68+B68)),"!!!",($B68*$B$7+$C68*$C$7)/100))</f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>IF(A68="","",1)</f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82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>IF(ISTEXT(H68),"",(B68*$B$7/100)+(C68*$C$7/100))</f>
      </c>
      <c r="S68" s="220">
        <f>IF(OR(ISTEXT(H68),R68=0),"",IF(R68&lt;0.1,1,IF(R68&lt;1,2,IF(R68&lt;10,3,IF(R68&lt;50,4,IF(R68&gt;=50,5,""))))))</f>
      </c>
      <c r="T68" s="220">
        <f>IF(ISERROR(S68*J68),0,S68*J68)</f>
        <v>0</v>
      </c>
      <c r="U68" s="220">
        <f>IF(ISERROR(S68*J68*K68),0,S68*J68*K68)</f>
        <v>0</v>
      </c>
      <c r="V68" s="236">
        <f>IF(ISERROR(S68*K68),0,S68*K68)</f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56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>IF(AND(OR(A69="",A69="!!!!!!"),B69="",C69=""),"",IF(OR(AND(B69="",C69=""),ISERROR(C69+B69)),"!!!",($B69*$B$7+$C69*$C$7)/100))</f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>IF(A69="","",1)</f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82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>IF(ISTEXT(H69),"",(B69*$B$7/100)+(C69*$C$7/100))</f>
      </c>
      <c r="S69" s="220">
        <f>IF(OR(ISTEXT(H69),R69=0),"",IF(R69&lt;0.1,1,IF(R69&lt;1,2,IF(R69&lt;10,3,IF(R69&lt;50,4,IF(R69&gt;=50,5,""))))))</f>
      </c>
      <c r="T69" s="220">
        <f>IF(ISERROR(S69*J69),0,S69*J69)</f>
        <v>0</v>
      </c>
      <c r="U69" s="220">
        <f>IF(ISERROR(S69*J69*K69),0,S69*J69*K69)</f>
        <v>0</v>
      </c>
      <c r="V69" s="236">
        <f>IF(ISERROR(S69*K69),0,S69*K69)</f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56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>IF(AND(OR(A70="",A70="!!!!!!"),B70="",C70=""),"",IF(OR(AND(B70="",C70=""),ISERROR(C70+B70)),"!!!",($B70*$B$7+$C70*$C$7)/100))</f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>IF(A70="","",1)</f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82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>IF(ISTEXT(H70),"",(B70*$B$7/100)+(C70*$C$7/100))</f>
      </c>
      <c r="S70" s="220">
        <f>IF(OR(ISTEXT(H70),R70=0),"",IF(R70&lt;0.1,1,IF(R70&lt;1,2,IF(R70&lt;10,3,IF(R70&lt;50,4,IF(R70&gt;=50,5,""))))))</f>
      </c>
      <c r="T70" s="220">
        <f>IF(ISERROR(S70*J70),0,S70*J70)</f>
        <v>0</v>
      </c>
      <c r="U70" s="220">
        <f>IF(ISERROR(S70*J70*K70),0,S70*J70*K70)</f>
        <v>0</v>
      </c>
      <c r="V70" s="236">
        <f>IF(ISERROR(S70*K70),0,S70*K70)</f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56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>IF(AND(OR(A71="",A71="!!!!!!"),B71="",C71=""),"",IF(OR(AND(B71="",C71=""),ISERROR(C71+B71)),"!!!",($B71*$B$7+$C71*$C$7)/100))</f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>IF(A71="","",1)</f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82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>IF(ISTEXT(H71),"",(B71*$B$7/100)+(C71*$C$7/100))</f>
      </c>
      <c r="S71" s="220">
        <f>IF(OR(ISTEXT(H71),R71=0),"",IF(R71&lt;0.1,1,IF(R71&lt;1,2,IF(R71&lt;10,3,IF(R71&lt;50,4,IF(R71&gt;=50,5,""))))))</f>
      </c>
      <c r="T71" s="220">
        <f>IF(ISERROR(S71*J71),0,S71*J71)</f>
        <v>0</v>
      </c>
      <c r="U71" s="220">
        <f>IF(ISERROR(S71*J71*K71),0,S71*J71*K71)</f>
        <v>0</v>
      </c>
      <c r="V71" s="236">
        <f>IF(ISERROR(S71*K71),0,S71*K71)</f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56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>IF(AND(OR(A72="",A72="!!!!!!"),B72="",C72=""),"",IF(OR(AND(B72="",C72=""),ISERROR(C72+B72)),"!!!",($B72*$B$7+$C72*$C$7)/100))</f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>IF(A72="","",1)</f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82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>IF(ISTEXT(H72),"",(B72*$B$7/100)+(C72*$C$7/100))</f>
      </c>
      <c r="S72" s="220">
        <f>IF(OR(ISTEXT(H72),R72=0),"",IF(R72&lt;0.1,1,IF(R72&lt;1,2,IF(R72&lt;10,3,IF(R72&lt;50,4,IF(R72&gt;=50,5,""))))))</f>
      </c>
      <c r="T72" s="220">
        <f>IF(ISERROR(S72*J72),0,S72*J72)</f>
        <v>0</v>
      </c>
      <c r="U72" s="220">
        <f>IF(ISERROR(S72*J72*K72),0,S72*J72*K72)</f>
        <v>0</v>
      </c>
      <c r="V72" s="236">
        <f>IF(ISERROR(S72*K72),0,S72*K72)</f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56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>IF(AND(OR(A73="",A73="!!!!!!"),B73="",C73=""),"",IF(OR(AND(B73="",C73=""),ISERROR(C73+B73)),"!!!",($B73*$B$7+$C73*$C$7)/100))</f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>IF(A73="","",1)</f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82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>IF(ISTEXT(H73),"",(B73*$B$7/100)+(C73*$C$7/100))</f>
      </c>
      <c r="S73" s="220">
        <f>IF(OR(ISTEXT(H73),R73=0),"",IF(R73&lt;0.1,1,IF(R73&lt;1,2,IF(R73&lt;10,3,IF(R73&lt;50,4,IF(R73&gt;=50,5,""))))))</f>
      </c>
      <c r="T73" s="220">
        <f>IF(ISERROR(S73*J73),0,S73*J73)</f>
        <v>0</v>
      </c>
      <c r="U73" s="220">
        <f>IF(ISERROR(S73*J73*K73),0,S73*J73*K73)</f>
        <v>0</v>
      </c>
      <c r="V73" s="236">
        <f>IF(ISERROR(S73*K73),0,S73*K73)</f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56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>IF(AND(OR(A74="",A74="!!!!!!"),B74="",C74=""),"",IF(OR(AND(B74="",C74=""),ISERROR(C74+B74)),"!!!",($B74*$B$7+$C74*$C$7)/100))</f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>IF(A74="","",1)</f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82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>IF(ISTEXT(H74),"",(B74*$B$7/100)+(C74*$C$7/100))</f>
      </c>
      <c r="S74" s="220">
        <f>IF(OR(ISTEXT(H74),R74=0),"",IF(R74&lt;0.1,1,IF(R74&lt;1,2,IF(R74&lt;10,3,IF(R74&lt;50,4,IF(R74&gt;=50,5,""))))))</f>
      </c>
      <c r="T74" s="220">
        <f>IF(ISERROR(S74*J74),0,S74*J74)</f>
        <v>0</v>
      </c>
      <c r="U74" s="220">
        <f>IF(ISERROR(S74*J74*K74),0,S74*J74*K74)</f>
        <v>0</v>
      </c>
      <c r="V74" s="236">
        <f>IF(ISERROR(S74*K74),0,S74*K74)</f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56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>IF(AND(OR(A75="",A75="!!!!!!"),B75="",C75=""),"",IF(OR(AND(B75="",C75=""),ISERROR(C75+B75)),"!!!",($B75*$B$7+$C75*$C$7)/100))</f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>IF(A75="","",1)</f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82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>IF(ISTEXT(H75),"",(B75*$B$7/100)+(C75*$C$7/100))</f>
      </c>
      <c r="S75" s="220">
        <f>IF(OR(ISTEXT(H75),R75=0),"",IF(R75&lt;0.1,1,IF(R75&lt;1,2,IF(R75&lt;10,3,IF(R75&lt;50,4,IF(R75&gt;=50,5,""))))))</f>
      </c>
      <c r="T75" s="220">
        <f>IF(ISERROR(S75*J75),0,S75*J75)</f>
        <v>0</v>
      </c>
      <c r="U75" s="220">
        <f>IF(ISERROR(S75*J75*K75),0,S75*J75*K75)</f>
        <v>0</v>
      </c>
      <c r="V75" s="236">
        <f>IF(ISERROR(S75*K75),0,S75*K75)</f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56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>IF(AND(OR(A76="",A76="!!!!!!"),B76="",C76=""),"",IF(OR(AND(B76="",C76=""),ISERROR(C76+B76)),"!!!",($B76*$B$7+$C76*$C$7)/100))</f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>IF(A76="","",1)</f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82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>IF(ISTEXT(H76),"",(B76*$B$7/100)+(C76*$C$7/100))</f>
      </c>
      <c r="S76" s="220">
        <f>IF(OR(ISTEXT(H76),R76=0),"",IF(R76&lt;0.1,1,IF(R76&lt;1,2,IF(R76&lt;10,3,IF(R76&lt;50,4,IF(R76&gt;=50,5,""))))))</f>
      </c>
      <c r="T76" s="220">
        <f>IF(ISERROR(S76*J76),0,S76*J76)</f>
        <v>0</v>
      </c>
      <c r="U76" s="220">
        <f>IF(ISERROR(S76*J76*K76),0,S76*J76*K76)</f>
        <v>0</v>
      </c>
      <c r="V76" s="236">
        <f>IF(ISERROR(S76*K76),0,S76*K76)</f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56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>IF(AND(OR(A77="",A77="!!!!!!"),B77="",C77=""),"",IF(OR(AND(B77="",C77=""),ISERROR(C77+B77)),"!!!",($B77*$B$7+$C77*$C$7)/100))</f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>IF(A77="","",1)</f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82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>IF(ISTEXT(H77),"",(B77*$B$7/100)+(C77*$C$7/100))</f>
      </c>
      <c r="S77" s="220">
        <f>IF(OR(ISTEXT(H77),R77=0),"",IF(R77&lt;0.1,1,IF(R77&lt;1,2,IF(R77&lt;10,3,IF(R77&lt;50,4,IF(R77&gt;=50,5,""))))))</f>
      </c>
      <c r="T77" s="220">
        <f>IF(ISERROR(S77*J77),0,S77*J77)</f>
        <v>0</v>
      </c>
      <c r="U77" s="220">
        <f>IF(ISERROR(S77*J77*K77),0,S77*J77*K77)</f>
        <v>0</v>
      </c>
      <c r="V77" s="236">
        <f>IF(ISERROR(S77*K77),0,S77*K77)</f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56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>IF(AND(OR(A78="",A78="!!!!!!"),B78="",C78=""),"",IF(OR(AND(B78="",C78=""),ISERROR(C78+B78)),"!!!",($B78*$B$7+$C78*$C$7)/100))</f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>IF(A78="","",1)</f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82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>IF(ISTEXT(H78),"",(B78*$B$7/100)+(C78*$C$7/100))</f>
      </c>
      <c r="S78" s="220">
        <f>IF(OR(ISTEXT(H78),R78=0),"",IF(R78&lt;0.1,1,IF(R78&lt;1,2,IF(R78&lt;10,3,IF(R78&lt;50,4,IF(R78&gt;=50,5,""))))))</f>
      </c>
      <c r="T78" s="220">
        <f>IF(ISERROR(S78*J78),0,S78*J78)</f>
        <v>0</v>
      </c>
      <c r="U78" s="220">
        <f>IF(ISERROR(S78*J78*K78),0,S78*J78*K78)</f>
        <v>0</v>
      </c>
      <c r="V78" s="236">
        <f>IF(ISERROR(S78*K78),0,S78*K78)</f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56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>IF(AND(OR(A79="",A79="!!!!!!"),B79="",C79=""),"",IF(OR(AND(B79="",C79=""),ISERROR(C79+B79)),"!!!",($B79*$B$7+$C79*$C$7)/100))</f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>IF(A79="","",1)</f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82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>IF(ISTEXT(H79),"",(B79*$B$7/100)+(C79*$C$7/100))</f>
      </c>
      <c r="S79" s="220">
        <f>IF(OR(ISTEXT(H79),R79=0),"",IF(R79&lt;0.1,1,IF(R79&lt;1,2,IF(R79&lt;10,3,IF(R79&lt;50,4,IF(R79&gt;=50,5,""))))))</f>
      </c>
      <c r="T79" s="220">
        <f>IF(ISERROR(S79*J79),0,S79*J79)</f>
        <v>0</v>
      </c>
      <c r="U79" s="220">
        <f>IF(ISERROR(S79*J79*K79),0,S79*J79*K79)</f>
        <v>0</v>
      </c>
      <c r="V79" s="236">
        <f>IF(ISERROR(S79*K79),0,S79*K79)</f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56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>IF(AND(OR(A80="",A80="!!!!!!"),B80="",C80=""),"",IF(OR(AND(B80="",C80=""),ISERROR(C80+B80)),"!!!",($B80*$B$7+$C80*$C$7)/100))</f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>IF(A80="","",1)</f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82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>IF(ISTEXT(H80),"",(B80*$B$7/100)+(C80*$C$7/100))</f>
      </c>
      <c r="S80" s="220">
        <f>IF(OR(ISTEXT(H80),R80=0),"",IF(R80&lt;0.1,1,IF(R80&lt;1,2,IF(R80&lt;10,3,IF(R80&lt;50,4,IF(R80&gt;=50,5,""))))))</f>
      </c>
      <c r="T80" s="220">
        <f>IF(ISERROR(S80*J80),0,S80*J80)</f>
        <v>0</v>
      </c>
      <c r="U80" s="220">
        <f>IF(ISERROR(S80*J80*K80),0,S80*J80*K80)</f>
        <v>0</v>
      </c>
      <c r="V80" s="236">
        <f>IF(ISERROR(S80*K80),0,S80*K80)</f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56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>IF(AND(OR(A81="",A81="!!!!!!"),B81="",C81=""),"",IF(OR(AND(B81="",C81=""),ISERROR(C81+B81)),"!!!",($B81*$B$7+$C81*$C$7)/100))</f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>IF(A81="","",1)</f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82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>IF(ISTEXT(H81),"",(B81*$B$7/100)+(C81*$C$7/100))</f>
      </c>
      <c r="S81" s="220">
        <f>IF(OR(ISTEXT(H81),R81=0),"",IF(R81&lt;0.1,1,IF(R81&lt;1,2,IF(R81&lt;10,3,IF(R81&lt;50,4,IF(R81&gt;=50,5,""))))))</f>
      </c>
      <c r="T81" s="220">
        <f>IF(ISERROR(S81*J81),0,S81*J81)</f>
        <v>0</v>
      </c>
      <c r="U81" s="220">
        <f>IF(ISERROR(S81*J81*K81),0,S81*J81*K81)</f>
        <v>0</v>
      </c>
      <c r="V81" s="236">
        <f>IF(ISERROR(S81*K81),0,S81*K81)</f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56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>IF(AND(OR(A82="",A82="!!!!!!"),B82="",C82=""),"",IF(OR(AND(B82="",C82=""),ISERROR(C82+B82)),"!!!",($B82*$B$7+$C82*$C$7)/100))</f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>IF(A82="","",1)</f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82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>IF(ISTEXT(H82),"",(B82*$B$7/100)+(C82*$C$7/100))</f>
      </c>
      <c r="S82" s="187">
        <f>IF(OR(ISTEXT(H82),R82=0),"",IF(R82&lt;0.1,1,IF(R82&lt;1,2,IF(R82&lt;10,3,IF(R82&lt;50,4,IF(R82&gt;=50,5,""))))))</f>
      </c>
      <c r="T82" s="187">
        <f>IF(ISERROR(S82*J82),0,S82*J82)</f>
        <v>0</v>
      </c>
      <c r="U82" s="187">
        <f>IF(ISERROR(S82*J82*K82),0,S82*J82*K82)</f>
        <v>0</v>
      </c>
      <c r="V82" s="254">
        <f>IF(ISERROR(S82*K82),0,S82*K82)</f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7.047499999999999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48</v>
      </c>
      <c r="W83" s="220"/>
      <c r="X83" s="258"/>
      <c r="Y83" s="258"/>
      <c r="Z83" s="259"/>
    </row>
    <row r="84" spans="1:26" ht="12.75" hidden="1">
      <c r="A84" s="253" t="str">
        <f>A3</f>
        <v>VERNAISSON</v>
      </c>
      <c r="B84" s="187" t="str">
        <f>C3</f>
        <v>VERNAISSON A ST MARTIN EN VERCORS 2</v>
      </c>
      <c r="C84" s="260" t="str">
        <f>A4</f>
        <v>(Date)</v>
      </c>
      <c r="D84" s="261">
        <f>IF(OR(ISERROR(SUM($U$23:$U$82)/SUM($V$23:$V$82)),F7&lt;&gt;100),-1,SUM($U$23:$U$82)/SUM($V$23:$V$82))</f>
        <v>12.020833333333334</v>
      </c>
      <c r="E84" s="262">
        <f>O13</f>
        <v>21</v>
      </c>
      <c r="F84" s="187">
        <f>O14</f>
        <v>18</v>
      </c>
      <c r="G84" s="187">
        <f>O15</f>
        <v>7</v>
      </c>
      <c r="H84" s="187">
        <f>O16</f>
        <v>11</v>
      </c>
      <c r="I84" s="187">
        <f>O17</f>
        <v>0</v>
      </c>
      <c r="J84" s="263">
        <f>O8</f>
        <v>11.277777777777779</v>
      </c>
      <c r="K84" s="264">
        <f>O9</f>
        <v>3.460981806038338</v>
      </c>
      <c r="L84" s="265">
        <f>O10</f>
        <v>4</v>
      </c>
      <c r="M84" s="265">
        <f>O11</f>
        <v>16</v>
      </c>
      <c r="N84" s="264">
        <f>P8</f>
        <v>1.6111111111111112</v>
      </c>
      <c r="O84" s="264">
        <f>P9</f>
        <v>0.48749802152178456</v>
      </c>
      <c r="P84" s="265">
        <f>P10</f>
        <v>1</v>
      </c>
      <c r="Q84" s="265">
        <f>P11</f>
        <v>2</v>
      </c>
      <c r="R84" s="265">
        <f>F21</f>
        <v>7.047499999999999</v>
      </c>
      <c r="S84" s="265">
        <f>L11</f>
        <v>0</v>
      </c>
      <c r="T84" s="265">
        <f>L12</f>
        <v>9</v>
      </c>
      <c r="U84" s="265">
        <f>L13</f>
        <v>10</v>
      </c>
      <c r="V84" s="266">
        <f>L15</f>
        <v>1</v>
      </c>
      <c r="W84" s="267">
        <f>L15</f>
        <v>1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103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104</v>
      </c>
      <c r="S87" s="5"/>
      <c r="T87" s="272">
        <f>VLOOKUP($T$91,($A$23:$U$82),20,FALSE)</f>
        <v>45</v>
      </c>
      <c r="U87" s="5"/>
      <c r="V87" s="5"/>
    </row>
    <row r="88" spans="3:22" ht="12.75" hidden="1">
      <c r="C88" s="269"/>
      <c r="D88" s="269"/>
      <c r="E88" s="269"/>
      <c r="R88" s="5" t="s">
        <v>105</v>
      </c>
      <c r="S88" s="5"/>
      <c r="T88" s="272">
        <f>VLOOKUP($T$91,($A$23:$U$82),21,FALSE)</f>
        <v>90</v>
      </c>
      <c r="U88" s="5"/>
      <c r="V88" s="5">
        <f>COUNTIF(V23:V82,T89)</f>
        <v>3</v>
      </c>
    </row>
    <row r="89" spans="3:21" ht="12.75" hidden="1">
      <c r="C89" s="269"/>
      <c r="D89" s="269"/>
      <c r="E89" s="269"/>
      <c r="R89" s="5" t="s">
        <v>106</v>
      </c>
      <c r="S89" s="5"/>
      <c r="T89" s="272">
        <f>MAX($V$23:$V$82)</f>
        <v>6</v>
      </c>
      <c r="U89" s="5"/>
    </row>
    <row r="90" spans="3:21" ht="12.75" hidden="1">
      <c r="C90" s="269"/>
      <c r="D90" s="269"/>
      <c r="E90" s="269"/>
      <c r="R90" s="5" t="s">
        <v>107</v>
      </c>
      <c r="S90" s="5" t="s">
        <v>10</v>
      </c>
      <c r="T90" s="273">
        <f>IF(OR(ISERROR(SUM($U$23:$U$82)/SUM($V$23:$V$82)),F7&lt;&gt;100),-1,(SUM($U$23:$U$82)-T88)/(SUM($V$23:$V$82)-T89))</f>
        <v>11.595238095238095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108</v>
      </c>
      <c r="S91" s="220"/>
      <c r="T91" s="220" t="str">
        <f>INDEX('[1]liste reference'!$A$6:$A$1174,$U$91)</f>
        <v>BRARIV</v>
      </c>
      <c r="U91" s="5">
        <f>IF(ISERROR(MATCH($T$93,'[1]liste reference'!$A$6:$A$1174,0)),MATCH($T$93,'[1]liste reference'!$B$6:$B$1174,0),(MATCH($T$93,'[1]liste reference'!$A$6:$A$1174,0)))</f>
        <v>203</v>
      </c>
      <c r="V91" s="274"/>
    </row>
    <row r="92" spans="3:21" ht="12.75" hidden="1">
      <c r="C92" s="269"/>
      <c r="D92" s="269"/>
      <c r="E92" s="269"/>
      <c r="R92" s="5" t="s">
        <v>109</v>
      </c>
      <c r="S92" s="5"/>
      <c r="T92" s="5">
        <f>MATCH(T89,$V$23:$V$82,0)</f>
        <v>11</v>
      </c>
      <c r="U92" s="5"/>
    </row>
    <row r="93" spans="3:21" ht="12.75" hidden="1">
      <c r="C93" s="269"/>
      <c r="D93" s="269"/>
      <c r="E93" s="269"/>
      <c r="R93" s="220" t="s">
        <v>110</v>
      </c>
      <c r="S93" s="5"/>
      <c r="T93" s="220" t="str">
        <f>INDEX($A$23:$A$82,$T$92)</f>
        <v>BRARIV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password="C39F"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Laboratoire hydrobiologie SAGE</dc:creator>
  <cp:keywords/>
  <dc:description/>
  <cp:lastModifiedBy>Laboratoire hydrobiologie SAGE</cp:lastModifiedBy>
  <dcterms:created xsi:type="dcterms:W3CDTF">2016-04-26T14:15:12Z</dcterms:created>
  <dcterms:modified xsi:type="dcterms:W3CDTF">2016-04-26T14:15:14Z</dcterms:modified>
  <cp:category/>
  <cp:version/>
  <cp:contentType/>
  <cp:contentStatus/>
</cp:coreProperties>
</file>