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<sst xmlns="http://schemas.openxmlformats.org/spreadsheetml/2006/main" count="221" uniqueCount="106">
  <si>
    <t>Relevés floristiques aquatiques - IBMR</t>
  </si>
  <si>
    <t xml:space="preserve">Formulaire modèle GIS Macrophytes v 3.1.1 - janvier 2013  </t>
  </si>
  <si>
    <t>SAGE</t>
  </si>
  <si>
    <t>LBOURGOIN CBERNARD</t>
  </si>
  <si>
    <t>conforme AFNOR T90-395 oct. 2003</t>
  </si>
  <si>
    <t>DROME</t>
  </si>
  <si>
    <t>Drôme à Chabrillan</t>
  </si>
  <si>
    <t>06580437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</si>
  <si>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</si>
  <si>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</si>
  <si>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</si>
  <si>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</si>
  <si>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</si>
  <si>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</si>
  <si>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</si>
  <si>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</si>
  <si>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</si>
  <si>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</si>
  <si>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ch. lotique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</si>
  <si>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</si>
  <si>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</si>
  <si>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</si>
  <si>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</si>
  <si>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</si>
  <si>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</si>
  <si>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</si>
  <si>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</si>
  <si>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</si>
  <si>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</si>
  <si>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</si>
  <si>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</si>
  <si>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</si>
  <si>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</si>
  <si>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</si>
  <si>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</si>
  <si>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</si>
  <si>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</si>
  <si>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</si>
  <si>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</si>
  <si>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</si>
  <si>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</si>
  <si>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</si>
  <si>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</si>
  <si>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</si>
  <si>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</si>
  <si>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</si>
  <si>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</si>
  <si>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</si>
  <si>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</si>
  <si>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</si>
  <si>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</si>
  <si>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</si>
  <si>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</si>
  <si>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</si>
  <si>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</si>
  <si>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</si>
  <si>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</si>
  <si>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</si>
  <si>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</si>
  <si>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</si>
  <si>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</si>
  <si>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</si>
  <si>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</si>
  <si>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</si>
  <si>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</si>
  <si>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</si>
  <si>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</si>
  <si>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</si>
  <si>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</si>
  <si>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</si>
  <si>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</si>
  <si>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</si>
  <si>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</si>
  <si>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</si>
  <si>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</si>
  <si>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</si>
  <si>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</si>
  <si>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</si>
  <si>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</si>
  <si>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MELSPX</t>
  </si>
  <si>
    <t>NOSSPX</t>
  </si>
  <si>
    <t>PHOSPX</t>
  </si>
  <si>
    <t>SPISPX</t>
  </si>
  <si>
    <t>STISPX</t>
  </si>
  <si>
    <t>ULOSPX</t>
  </si>
  <si>
    <t>VAUSPX</t>
  </si>
  <si>
    <t>AMBRIP</t>
  </si>
  <si>
    <t>BRARIV</t>
  </si>
  <si>
    <t>CINRIP</t>
  </si>
  <si>
    <t>FONANT</t>
  </si>
  <si>
    <t>RHYRIP</t>
  </si>
  <si>
    <t>GLYFLU</t>
  </si>
  <si>
    <t>VERANA</t>
  </si>
  <si>
    <t>newcod</t>
  </si>
  <si>
    <t>Gomphoneis sp.</t>
  </si>
  <si>
    <t>autres diatomées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</si>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</sst>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5" fillId="25" borderId="26" xfId="0" applyFont="1" applyFill="1" applyBorder="1" applyAlignment="1" applyProtection="1">
      <alignment horizontal="center" vertical="top"/>
      <protection hidden="1"/>
    </xf>
    <xf numFmtId="0" fontId="36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8" fillId="4" borderId="40" xfId="0" applyFont="1" applyFill="1" applyBorder="1" applyAlignment="1" applyProtection="1">
      <alignment horizontal="left" vertical="top"/>
      <protection hidden="1"/>
    </xf>
    <xf numFmtId="0" fontId="39" fillId="4" borderId="22" xfId="0" applyFont="1" applyFill="1" applyBorder="1" applyAlignment="1" applyProtection="1">
      <alignment horizontal="left" vertical="top"/>
      <protection hidden="1"/>
    </xf>
    <xf numFmtId="0" fontId="39" fillId="4" borderId="41" xfId="0" applyFont="1" applyFill="1" applyBorder="1" applyAlignment="1" applyProtection="1">
      <alignment horizontal="left" vertical="top"/>
      <protection hidden="1"/>
    </xf>
    <xf numFmtId="0" fontId="39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40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1" fillId="20" borderId="11" xfId="0" applyNumberFormat="1" applyFont="1" applyFill="1" applyBorder="1" applyAlignment="1" applyProtection="1">
      <alignment horizontal="right"/>
      <protection hidden="1"/>
    </xf>
    <xf numFmtId="177" fontId="41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2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8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9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45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5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6" fillId="22" borderId="0" xfId="0" applyFont="1" applyFill="1" applyBorder="1" applyAlignment="1" applyProtection="1">
      <alignment/>
      <protection hidden="1"/>
    </xf>
    <xf numFmtId="0" fontId="46" fillId="22" borderId="22" xfId="0" applyFont="1" applyFill="1" applyBorder="1" applyAlignment="1" applyProtection="1">
      <alignment/>
      <protection hidden="1"/>
    </xf>
    <xf numFmtId="0" fontId="46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5" fillId="22" borderId="27" xfId="0" applyFont="1" applyFill="1" applyBorder="1" applyAlignment="1" applyProtection="1">
      <alignment horizontal="center"/>
      <protection hidden="1"/>
    </xf>
    <xf numFmtId="177" fontId="45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8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7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5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5" fillId="17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5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7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7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7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5" fillId="20" borderId="80" xfId="0" applyFont="1" applyFill="1" applyBorder="1" applyAlignment="1" applyProtection="1">
      <alignment horizontal="right"/>
      <protection hidden="1"/>
    </xf>
    <xf numFmtId="0" fontId="45" fillId="20" borderId="80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ROCHA_25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C44" sqref="C4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41450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11.057142857142857</v>
      </c>
      <c r="M5" s="53"/>
      <c r="N5" s="54" t="s">
        <v>16</v>
      </c>
      <c r="O5" s="55">
        <v>10.777777777777779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93</v>
      </c>
      <c r="C7" s="67">
        <v>7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10.4375</v>
      </c>
      <c r="O8" s="85">
        <f>IF(ISERROR(AVERAGE(J23:J82)),"      -",AVERAGE(J23:J82))</f>
        <v>1.5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35.5</v>
      </c>
      <c r="C9" s="88">
        <v>15.83</v>
      </c>
      <c r="D9" s="89"/>
      <c r="E9" s="89"/>
      <c r="F9" s="90">
        <f>($B9*$B$7+$C9*$C$7)/100</f>
        <v>34.1231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3.0815732589052627</v>
      </c>
      <c r="O9" s="85">
        <f>IF(ISERROR(STDEVP(J23:J82)),"      -",STDEVP(J23:J82))</f>
        <v>0.5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4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15</v>
      </c>
      <c r="O11" s="107">
        <f>MAX(J23:J82)</f>
        <v>2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35.5</v>
      </c>
      <c r="C12" s="121">
        <v>12.8</v>
      </c>
      <c r="D12" s="112"/>
      <c r="E12" s="112"/>
      <c r="F12" s="113">
        <f>($B12*$B$7+$C12*$C$7)/100</f>
        <v>33.911</v>
      </c>
      <c r="G12" s="122"/>
      <c r="H12" s="68"/>
      <c r="I12" s="123" t="s">
        <v>39</v>
      </c>
      <c r="J12" s="124"/>
      <c r="K12" s="117">
        <f>COUNTIF($G$23:$G$82,"=ALG")</f>
        <v>9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0.01</v>
      </c>
      <c r="C13" s="121">
        <v>3.01</v>
      </c>
      <c r="D13" s="112"/>
      <c r="E13" s="112"/>
      <c r="F13" s="113">
        <f>($B13*$B$7+$C13*$C$7)/100</f>
        <v>0.22</v>
      </c>
      <c r="G13" s="122"/>
      <c r="H13" s="68"/>
      <c r="I13" s="130" t="s">
        <v>41</v>
      </c>
      <c r="J13" s="124"/>
      <c r="K13" s="117">
        <f>COUNTIF($G$23:$G$82,"=BRm")+COUNTIF($G$23:$G$82,"=BRh")</f>
        <v>5</v>
      </c>
      <c r="L13" s="118"/>
      <c r="M13" s="131" t="s">
        <v>42</v>
      </c>
      <c r="N13" s="132">
        <f>COUNTIF(F23:F82,"&gt;0")</f>
        <v>18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16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/>
      <c r="C15" s="140">
        <v>0.02</v>
      </c>
      <c r="D15" s="112"/>
      <c r="E15" s="112"/>
      <c r="F15" s="113">
        <f>($B15*$B$7+$C15*$C$7)/100</f>
        <v>0.0014000000000000002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2</v>
      </c>
      <c r="L15" s="118"/>
      <c r="M15" s="141" t="s">
        <v>48</v>
      </c>
      <c r="N15" s="142">
        <f>COUNTIF(J23:J82,"=1")</f>
        <v>8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8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35.51</v>
      </c>
      <c r="C17" s="121">
        <v>15.81</v>
      </c>
      <c r="D17" s="112"/>
      <c r="E17" s="112"/>
      <c r="F17" s="148"/>
      <c r="G17" s="113">
        <f>($B17*$B$7+$C17*$C$7)/100</f>
        <v>34.131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0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0.02</v>
      </c>
      <c r="D18" s="112"/>
      <c r="E18" s="152" t="s">
        <v>54</v>
      </c>
      <c r="F18" s="148"/>
      <c r="G18" s="113">
        <f>($B18*$B$7+$C18*$C$7)/100</f>
        <v>0.0014000000000000002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34.1324</v>
      </c>
      <c r="G19" s="161">
        <f>SUM(G16:G18)</f>
        <v>34.1324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105</v>
      </c>
      <c r="B20" s="170">
        <f>SUM(B23:B82)</f>
        <v>35.55</v>
      </c>
      <c r="C20" s="171">
        <f>SUM(C23:C82)</f>
        <v>15.830000000000002</v>
      </c>
      <c r="D20" s="172"/>
      <c r="E20" s="173" t="s">
        <v>54</v>
      </c>
      <c r="F20" s="174">
        <f>($B20*$B$7+$C20*$C$7)/100</f>
        <v>34.169599999999996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33.061499999999995</v>
      </c>
      <c r="C21" s="184">
        <f>C20*C7/100</f>
        <v>1.1081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34.169599999999996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0.5</v>
      </c>
      <c r="C23" s="212">
        <v>1.96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0.6022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0.6022000000000001</v>
      </c>
      <c r="R23" s="222">
        <f aca="true" t="shared" si="2" ref="R23:R54">IF(OR(ISTEXT(H23),Q23=0),"",IF(Q23&lt;0.1,1,IF(Q23&lt;1,2,IF(Q23&lt;10,3,IF(Q23&lt;50,4,IF(Q23&gt;=50,5,""))))))</f>
        <v>2</v>
      </c>
      <c r="S23" s="222">
        <f aca="true" t="shared" si="3" ref="S23:S54">IF(ISERROR(R23*I23),0,R23*I23)</f>
        <v>12</v>
      </c>
      <c r="T23" s="222">
        <f aca="true" t="shared" si="4" ref="T23:T54">IF(ISERROR(R23*I23*J23),0,R23*I23*J23)</f>
        <v>12</v>
      </c>
      <c r="U23" s="222">
        <f aca="true" t="shared" si="5" ref="U23:U54">IF(ISERROR(R23*J23),0,R23*J23)</f>
        <v>2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16</v>
      </c>
      <c r="B24" s="229">
        <v>10.5</v>
      </c>
      <c r="C24" s="230">
        <v>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10.115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10.115</v>
      </c>
      <c r="R24" s="222">
        <f t="shared" si="2"/>
        <v>4</v>
      </c>
      <c r="S24" s="222">
        <f t="shared" si="3"/>
        <v>48</v>
      </c>
      <c r="T24" s="222">
        <f t="shared" si="4"/>
        <v>96</v>
      </c>
      <c r="U24" s="234">
        <f t="shared" si="5"/>
        <v>8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</v>
      </c>
      <c r="C25" s="230">
        <v>2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Melosira sp.</v>
      </c>
      <c r="E25" s="231" t="e">
        <f>IF(D25="",,VLOOKUP(D25,D$22:D24,1,0))</f>
        <v>#N/A</v>
      </c>
      <c r="F25" s="232">
        <f t="shared" si="0"/>
        <v>0.14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Melosira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21">
        <f t="shared" si="1"/>
        <v>0.14</v>
      </c>
      <c r="R25" s="222">
        <f t="shared" si="2"/>
        <v>2</v>
      </c>
      <c r="S25" s="222">
        <f t="shared" si="3"/>
        <v>20</v>
      </c>
      <c r="T25" s="222">
        <f t="shared" si="4"/>
        <v>20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MELSPX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36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Nostoc sp.</v>
      </c>
      <c r="E26" s="231" t="e">
        <f>IF(D26="",,VLOOKUP(D26,D$22:D25,1,0))</f>
        <v>#N/A</v>
      </c>
      <c r="F26" s="232">
        <f t="shared" si="0"/>
        <v>0.009300000000000001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9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Nostoc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1105</v>
      </c>
      <c r="Q26" s="221">
        <f t="shared" si="1"/>
        <v>0.009300000000000001</v>
      </c>
      <c r="R26" s="222">
        <f t="shared" si="2"/>
        <v>1</v>
      </c>
      <c r="S26" s="222">
        <f t="shared" si="3"/>
        <v>9</v>
      </c>
      <c r="T26" s="222">
        <f t="shared" si="4"/>
        <v>9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NOSSPX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0.8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 t="shared" si="0"/>
        <v>0.0653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1"/>
        <v>0.06530000000000001</v>
      </c>
      <c r="R27" s="222">
        <f t="shared" si="2"/>
        <v>1</v>
      </c>
      <c r="S27" s="222">
        <f t="shared" si="3"/>
        <v>13</v>
      </c>
      <c r="T27" s="222">
        <f t="shared" si="4"/>
        <v>26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</v>
      </c>
      <c r="C28" s="230">
        <v>0.22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Spirogyra sp.</v>
      </c>
      <c r="E28" s="231" t="e">
        <f>IF(D28="",,VLOOKUP(D28,D$22:D27,1,0))</f>
        <v>#N/A</v>
      </c>
      <c r="F28" s="232">
        <f t="shared" si="0"/>
        <v>0.0154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Spirogyra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1147</v>
      </c>
      <c r="Q28" s="221">
        <f t="shared" si="1"/>
        <v>0.0154</v>
      </c>
      <c r="R28" s="222">
        <f t="shared" si="2"/>
        <v>1</v>
      </c>
      <c r="S28" s="222">
        <f t="shared" si="3"/>
        <v>10</v>
      </c>
      <c r="T28" s="222">
        <f t="shared" si="4"/>
        <v>10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SPISPX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69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0.3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Stigeoclonium sp.</v>
      </c>
      <c r="E29" s="231" t="e">
        <f>IF(D29="",,VLOOKUP(D29,D$22:D28,1,0))</f>
        <v>#N/A</v>
      </c>
      <c r="F29" s="232">
        <f t="shared" si="0"/>
        <v>0.021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Stigeoclonium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1119</v>
      </c>
      <c r="Q29" s="221">
        <f t="shared" si="1"/>
        <v>0.021</v>
      </c>
      <c r="R29" s="222">
        <f t="shared" si="2"/>
        <v>1</v>
      </c>
      <c r="S29" s="222">
        <f t="shared" si="3"/>
        <v>13</v>
      </c>
      <c r="T29" s="222">
        <f t="shared" si="4"/>
        <v>26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STISPX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71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2.52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Ulothrix sp.</v>
      </c>
      <c r="E30" s="231" t="e">
        <f>IF(D30="",,VLOOKUP(D30,D$22:D29,1,0))</f>
        <v>#N/A</v>
      </c>
      <c r="F30" s="232">
        <f t="shared" si="0"/>
        <v>0.1764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Ulothrix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1142</v>
      </c>
      <c r="Q30" s="221">
        <f t="shared" si="1"/>
        <v>0.1764</v>
      </c>
      <c r="R30" s="222">
        <f t="shared" si="2"/>
        <v>2</v>
      </c>
      <c r="S30" s="222">
        <f t="shared" si="3"/>
        <v>20</v>
      </c>
      <c r="T30" s="222">
        <f t="shared" si="4"/>
        <v>20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ULOSPX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Vaucheria sp.</v>
      </c>
      <c r="E31" s="231" t="e">
        <f>IF(D31="",,VLOOKUP(D31,D$22:D30,1,0))</f>
        <v>#N/A</v>
      </c>
      <c r="F31" s="232">
        <f t="shared" si="0"/>
        <v>0.009300000000000001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4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Vaucheria sp.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6193</v>
      </c>
      <c r="Q31" s="221">
        <f t="shared" si="1"/>
        <v>0.009300000000000001</v>
      </c>
      <c r="R31" s="222">
        <f t="shared" si="2"/>
        <v>1</v>
      </c>
      <c r="S31" s="222">
        <f t="shared" si="3"/>
        <v>4</v>
      </c>
      <c r="T31" s="222">
        <f t="shared" si="4"/>
        <v>4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VAUSPX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82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</v>
      </c>
      <c r="C32" s="230">
        <v>0.4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Amblystegium riparium</v>
      </c>
      <c r="E32" s="231" t="e">
        <f>IF(D32="",,VLOOKUP(D32,D$22:D31,1,0))</f>
        <v>#N/A</v>
      </c>
      <c r="F32" s="232">
        <f t="shared" si="0"/>
        <v>0.028000000000000004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5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Amblystegium riparium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1219</v>
      </c>
      <c r="Q32" s="221">
        <f t="shared" si="1"/>
        <v>0.028000000000000004</v>
      </c>
      <c r="R32" s="222">
        <f t="shared" si="2"/>
        <v>1</v>
      </c>
      <c r="S32" s="222">
        <f t="shared" si="3"/>
        <v>5</v>
      </c>
      <c r="T32" s="222">
        <f t="shared" si="4"/>
        <v>10</v>
      </c>
      <c r="U32" s="234">
        <f t="shared" si="5"/>
        <v>2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AMBRIP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148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87</v>
      </c>
      <c r="B33" s="229">
        <v>0</v>
      </c>
      <c r="C33" s="230">
        <v>0.1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Brachythecium rivulare</v>
      </c>
      <c r="E33" s="231" t="e">
        <f>IF(D33="",,VLOOKUP(D33,D$22:D32,1,0))</f>
        <v>#N/A</v>
      </c>
      <c r="F33" s="232">
        <f t="shared" si="0"/>
        <v>0.007000000000000001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15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Brachythecium rivulare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1260</v>
      </c>
      <c r="Q33" s="221">
        <f t="shared" si="1"/>
        <v>0.007000000000000001</v>
      </c>
      <c r="R33" s="222">
        <f t="shared" si="2"/>
        <v>1</v>
      </c>
      <c r="S33" s="222">
        <f t="shared" si="3"/>
        <v>15</v>
      </c>
      <c r="T33" s="222">
        <f t="shared" si="4"/>
        <v>30</v>
      </c>
      <c r="U33" s="234">
        <f t="shared" si="5"/>
        <v>2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BRARIV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155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88</v>
      </c>
      <c r="B34" s="229">
        <v>0.01</v>
      </c>
      <c r="C34" s="230">
        <v>1.5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Cinclidotus riparius</v>
      </c>
      <c r="E34" s="231" t="e">
        <f>IF(D34="",,VLOOKUP(D34,D$22:D33,1,0))</f>
        <v>#N/A</v>
      </c>
      <c r="F34" s="236">
        <f t="shared" si="0"/>
        <v>0.1143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13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Cinclidotus riparius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1321</v>
      </c>
      <c r="Q34" s="221">
        <f t="shared" si="1"/>
        <v>0.1143</v>
      </c>
      <c r="R34" s="222">
        <f t="shared" si="2"/>
        <v>2</v>
      </c>
      <c r="S34" s="222">
        <f t="shared" si="3"/>
        <v>26</v>
      </c>
      <c r="T34" s="222">
        <f t="shared" si="4"/>
        <v>52</v>
      </c>
      <c r="U34" s="234">
        <f t="shared" si="5"/>
        <v>4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CINRIP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174</v>
      </c>
      <c r="AA34" s="226"/>
      <c r="AB34" s="227"/>
      <c r="AC34" s="227"/>
      <c r="BB34" s="8">
        <f t="shared" si="7"/>
        <v>1</v>
      </c>
    </row>
    <row r="35" spans="1:54" ht="12.75">
      <c r="A35" s="228" t="s">
        <v>89</v>
      </c>
      <c r="B35" s="229">
        <v>0</v>
      </c>
      <c r="C35" s="230">
        <v>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Fontinalis antipyretica</v>
      </c>
      <c r="E35" s="231" t="e">
        <f>IF(D35="",,VLOOKUP(D35,D$22:D34,1,0))</f>
        <v>#N/A</v>
      </c>
      <c r="F35" s="236">
        <f t="shared" si="0"/>
        <v>0.07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Fontinalis antipyretica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1310</v>
      </c>
      <c r="Q35" s="221">
        <f t="shared" si="1"/>
        <v>0.07</v>
      </c>
      <c r="R35" s="222">
        <f t="shared" si="2"/>
        <v>1</v>
      </c>
      <c r="S35" s="222">
        <f t="shared" si="3"/>
        <v>10</v>
      </c>
      <c r="T35" s="222">
        <f t="shared" si="4"/>
        <v>10</v>
      </c>
      <c r="U35" s="234">
        <f t="shared" si="5"/>
        <v>1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FONANT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210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90</v>
      </c>
      <c r="B36" s="229">
        <v>0.01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Rhynchostegium riparioides</v>
      </c>
      <c r="E36" s="231" t="e">
        <f>IF(D36="",,VLOOKUP(D36,D$22:D35,1,0))</f>
        <v>#N/A</v>
      </c>
      <c r="F36" s="236">
        <f t="shared" si="0"/>
        <v>0.01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BRm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5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12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1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Rhynchostegium riparioides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1268</v>
      </c>
      <c r="Q36" s="221">
        <f t="shared" si="1"/>
        <v>0.010000000000000002</v>
      </c>
      <c r="R36" s="222">
        <f t="shared" si="2"/>
        <v>1</v>
      </c>
      <c r="S36" s="222">
        <f t="shared" si="3"/>
        <v>12</v>
      </c>
      <c r="T36" s="222">
        <f t="shared" si="4"/>
        <v>12</v>
      </c>
      <c r="U36" s="234">
        <f t="shared" si="5"/>
        <v>1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RHYRIP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252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91</v>
      </c>
      <c r="B37" s="229">
        <v>0</v>
      </c>
      <c r="C37" s="230">
        <v>0.01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Glyceria fluitans</v>
      </c>
      <c r="E37" s="231" t="e">
        <f>IF(D37="",,VLOOKUP(D37,D$22:D36,1,0))</f>
        <v>#N/A</v>
      </c>
      <c r="F37" s="236">
        <f t="shared" si="0"/>
        <v>0.0007000000000000001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14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Glyceria fluitans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1564</v>
      </c>
      <c r="Q37" s="221">
        <f t="shared" si="1"/>
        <v>0.0007000000000000001</v>
      </c>
      <c r="R37" s="222">
        <f t="shared" si="2"/>
        <v>1</v>
      </c>
      <c r="S37" s="222">
        <f t="shared" si="3"/>
        <v>14</v>
      </c>
      <c r="T37" s="222">
        <f t="shared" si="4"/>
        <v>28</v>
      </c>
      <c r="U37" s="234">
        <f t="shared" si="5"/>
        <v>2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GLYFLU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575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92</v>
      </c>
      <c r="B38" s="229">
        <v>0</v>
      </c>
      <c r="C38" s="230">
        <v>0.01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Veronica anagallis-aquatica</v>
      </c>
      <c r="E38" s="231" t="e">
        <f>IF(D38="",,VLOOKUP(D38,D$22:D37,1,0))</f>
        <v>#N/A</v>
      </c>
      <c r="F38" s="236">
        <f t="shared" si="0"/>
        <v>0.0007000000000000001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11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Veronica anagallis-aquatica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1955</v>
      </c>
      <c r="Q38" s="221">
        <f t="shared" si="1"/>
        <v>0.0007000000000000001</v>
      </c>
      <c r="R38" s="222">
        <f t="shared" si="2"/>
        <v>1</v>
      </c>
      <c r="S38" s="222">
        <f t="shared" si="3"/>
        <v>11</v>
      </c>
      <c r="T38" s="222">
        <f t="shared" si="4"/>
        <v>22</v>
      </c>
      <c r="U38" s="234">
        <f t="shared" si="5"/>
        <v>2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VERANA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682</v>
      </c>
      <c r="AA38" s="226"/>
      <c r="AB38" s="227"/>
      <c r="AC38" s="227"/>
      <c r="BB38" s="8">
        <f t="shared" si="7"/>
        <v>1</v>
      </c>
    </row>
    <row r="39" spans="1:54" ht="12.75">
      <c r="A39" s="228" t="s">
        <v>93</v>
      </c>
      <c r="B39" s="229">
        <v>3.5</v>
      </c>
      <c r="C39" s="230">
        <v>0</v>
      </c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3.255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Gomphoneis sp.</v>
      </c>
      <c r="L39" s="233"/>
      <c r="M39" s="233"/>
      <c r="N39" s="233"/>
      <c r="O39" s="220"/>
      <c r="P39" s="22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 t="s">
        <v>94</v>
      </c>
      <c r="AC39" s="227"/>
      <c r="BB39" s="8">
        <f t="shared" si="7"/>
        <v>1</v>
      </c>
    </row>
    <row r="40" spans="1:54" ht="12.75">
      <c r="A40" s="228" t="s">
        <v>93</v>
      </c>
      <c r="B40" s="229">
        <v>21</v>
      </c>
      <c r="C40" s="230">
        <v>0</v>
      </c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19.53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    -</v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autres diatomées</v>
      </c>
      <c r="L40" s="233"/>
      <c r="M40" s="233"/>
      <c r="N40" s="233"/>
      <c r="O40" s="220"/>
      <c r="P40" s="220" t="str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No</v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 t="str">
        <f>IF(A40="new.cod","NEWCOD",IF(AND((Z40=""),ISTEXT(A40)),A40,IF(Z40="","",INDEX('[1]liste reference'!$A$8:$A$904,Z40))))</f>
        <v>newcod</v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 t="s">
        <v>95</v>
      </c>
      <c r="AC40" s="227"/>
      <c r="BB40" s="8">
        <f t="shared" si="7"/>
        <v>1</v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96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DROME</v>
      </c>
      <c r="B84" s="265" t="str">
        <f>C3</f>
        <v>Drôme à Chabrillan</v>
      </c>
      <c r="C84" s="266">
        <f>A4</f>
        <v>41450</v>
      </c>
      <c r="D84" s="267">
        <f>IF(ISERROR(SUM($T$23:$T$82)/SUM($U$23:$U$82)),"",SUM($T$23:$T$82)/SUM($U$23:$U$82))</f>
        <v>11.057142857142857</v>
      </c>
      <c r="E84" s="268">
        <f>N13</f>
        <v>18</v>
      </c>
      <c r="F84" s="265">
        <f>N14</f>
        <v>16</v>
      </c>
      <c r="G84" s="265">
        <f>N15</f>
        <v>8</v>
      </c>
      <c r="H84" s="265">
        <f>N16</f>
        <v>8</v>
      </c>
      <c r="I84" s="265">
        <f>N17</f>
        <v>0</v>
      </c>
      <c r="J84" s="269">
        <f>N8</f>
        <v>10.4375</v>
      </c>
      <c r="K84" s="267">
        <f>N9</f>
        <v>3.0815732589052627</v>
      </c>
      <c r="L84" s="268">
        <f>N10</f>
        <v>4</v>
      </c>
      <c r="M84" s="268">
        <f>N11</f>
        <v>15</v>
      </c>
      <c r="N84" s="267">
        <f>O8</f>
        <v>1.5</v>
      </c>
      <c r="O84" s="267">
        <f>O9</f>
        <v>0.5</v>
      </c>
      <c r="P84" s="268">
        <f>O10</f>
        <v>1</v>
      </c>
      <c r="Q84" s="268">
        <f>O11</f>
        <v>2</v>
      </c>
      <c r="R84" s="268">
        <f>F21</f>
        <v>34.169599999999996</v>
      </c>
      <c r="S84" s="268">
        <f>K11</f>
        <v>0</v>
      </c>
      <c r="T84" s="268">
        <f>K12</f>
        <v>9</v>
      </c>
      <c r="U84" s="268">
        <f>K13</f>
        <v>5</v>
      </c>
      <c r="V84" s="270">
        <f>K14</f>
        <v>0</v>
      </c>
      <c r="W84" s="271">
        <f>K15</f>
        <v>2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97</v>
      </c>
      <c r="R86" s="8"/>
      <c r="S86" s="223"/>
      <c r="T86" s="8"/>
      <c r="U86" s="8"/>
      <c r="V86" s="8"/>
    </row>
    <row r="87" spans="16:22" ht="12.75" hidden="1">
      <c r="P87" s="8"/>
      <c r="Q87" s="8" t="s">
        <v>98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99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100</v>
      </c>
      <c r="R89" s="8"/>
      <c r="S89" s="223">
        <f>VLOOKUP((S87),($S$23:$U$82),3,0)</f>
        <v>8</v>
      </c>
      <c r="T89" s="8"/>
    </row>
    <row r="90" spans="17:20" ht="12.75">
      <c r="Q90" s="8" t="s">
        <v>101</v>
      </c>
      <c r="R90" s="8"/>
      <c r="S90" s="274">
        <f>IF(ISERROR(SUM($T$23:$T$82)/SUM($U$23:$U$82)),"",(SUM($T$23:$T$82)-S88)/(SUM($U$23:$U$82)-S89))</f>
        <v>10.777777777777779</v>
      </c>
      <c r="T90" s="8"/>
    </row>
    <row r="91" spans="17:21" ht="12.75">
      <c r="Q91" s="222" t="s">
        <v>102</v>
      </c>
      <c r="R91" s="222"/>
      <c r="S91" s="222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63"/>
    </row>
    <row r="92" spans="17:20" ht="12.75">
      <c r="Q92" s="8" t="s">
        <v>103</v>
      </c>
      <c r="R92" s="8"/>
      <c r="S92" s="8">
        <f>MATCH(S87,$S$23:$S$82,0)</f>
        <v>2</v>
      </c>
      <c r="T92" s="8"/>
    </row>
    <row r="93" spans="17:20" ht="12.75">
      <c r="Q93" s="222" t="s">
        <v>104</v>
      </c>
      <c r="R93" s="8"/>
      <c r="S93" s="222" t="str">
        <f>INDEX($A$23:$A$82,$S$92)</f>
        <v>DIASPX</v>
      </c>
      <c r="T93" s="8"/>
    </row>
    <row r="94" ht="12.75">
      <c r="S94" s="263"/>
    </row>
  </sheetData>
  <sheetProtection password="C39F" sheet="1" objects="1" scenarios="1"/>
  <mergeCells count="11">
    <mergeCell ref="A8:C8"/>
    <mergeCell ref="I11:J11"/>
    <mergeCell ref="I12:J12"/>
    <mergeCell ref="I17:J17"/>
    <mergeCell ref="I13:J13"/>
    <mergeCell ref="I14:J14"/>
    <mergeCell ref="I15:J15"/>
    <mergeCell ref="N6:O6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2013-12-12T15:33:41Z</dcterms:created>
  <dcterms:modified xsi:type="dcterms:W3CDTF">2013-12-12T15:33:46Z</dcterms:modified>
  <cp:category/>
  <cp:version/>
  <cp:contentType/>
  <cp:contentStatus/>
</cp:coreProperties>
</file>