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<sst xmlns="http://schemas.openxmlformats.org/spreadsheetml/2006/main" count="217" uniqueCount="100">
  <si>
    <t>Relevés floristiques aquatiques - IBMR</t>
  </si>
  <si>
    <t>modèle Irstea-GIS</t>
  </si>
  <si>
    <t>SAGE ENVIRONNEMENT</t>
  </si>
  <si>
    <t>LBOURGOIN M SCHNEIDER</t>
  </si>
  <si>
    <t>DROME</t>
  </si>
  <si>
    <t>DROME A CHABRILLAN</t>
  </si>
  <si>
    <t>06580437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</si>
  <si>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</si>
  <si>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</si>
  <si>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</si>
  <si>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</si>
  <si>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</si>
  <si>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</si>
  <si>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</si>
  <si>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</si>
  <si>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</si>
  <si>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</si>
  <si>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</si>
  <si>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</si>
  <si>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</si>
  <si>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</si>
  <si>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</si>
  <si>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</si>
  <si>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</si>
  <si>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</si>
  <si>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</si>
  <si>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</si>
  <si>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</si>
  <si>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</si>
  <si>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</si>
  <si>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</si>
  <si>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</si>
  <si>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</si>
  <si>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</si>
  <si>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</si>
  <si>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</si>
  <si>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</si>
  <si>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</si>
  <si>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</si>
  <si>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</si>
  <si>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</si>
  <si>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</si>
  <si>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</si>
  <si>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</si>
  <si>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</si>
  <si>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</si>
  <si>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</si>
  <si>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</si>
  <si>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</si>
  <si>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</si>
  <si>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</si>
  <si>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</si>
  <si>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</si>
  <si>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</si>
  <si>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</si>
  <si>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</si>
  <si>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</si>
  <si>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</si>
  <si>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</si>
  <si>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</si>
  <si>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</si>
  <si>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</si>
  <si>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</si>
  <si>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</si>
  <si>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</si>
  <si>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</si>
  <si>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</si>
  <si>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</si>
  <si>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</si>
  <si>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</si>
  <si>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</si>
  <si>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</si>
  <si>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</si>
  <si>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</si>
  <si>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</si>
  <si>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</si>
  <si>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</si>
  <si>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</si>
  <si>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</si>
  <si>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</si>
  <si>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</si>
  <si>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</si>
  <si>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SPISPX</t>
  </si>
  <si>
    <t>STISPX</t>
  </si>
  <si>
    <t>VAUSPX</t>
  </si>
  <si>
    <t>FISCRA</t>
  </si>
  <si>
    <t>FONANT</t>
  </si>
  <si>
    <t>LEORIP</t>
  </si>
  <si>
    <t>RHYRIP</t>
  </si>
  <si>
    <t>EQUSPX</t>
  </si>
  <si>
    <t>PHRAUS</t>
  </si>
  <si>
    <t>VERANA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</si>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</sst>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OCHA_09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N41" sqref="N41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9.583333333333334</v>
      </c>
      <c r="N5" s="50"/>
      <c r="O5" s="51" t="s">
        <v>16</v>
      </c>
      <c r="P5" s="52">
        <v>8.9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97</v>
      </c>
      <c r="C7" s="68">
        <v>3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9.545454545454545</v>
      </c>
      <c r="P8" s="85">
        <f>IF(ISERROR(AVERAGE(K23:K82)),"  ",AVERAGE(K23:K82))</f>
        <v>1.5454545454545454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5.56</v>
      </c>
      <c r="C9" s="88">
        <v>51.08</v>
      </c>
      <c r="D9" s="89"/>
      <c r="E9" s="89"/>
      <c r="F9" s="90">
        <f>($B9*$B$7+$C9*$C$7)/100</f>
        <v>6.925599999999999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3.0559520570857477</v>
      </c>
      <c r="P9" s="85">
        <f>IF(ISERROR(STDEVP(K23:K82)),"  ",STDEVP(K23:K82))</f>
        <v>0.4979295977319692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5.02</v>
      </c>
      <c r="C12" s="114">
        <v>50</v>
      </c>
      <c r="D12" s="89"/>
      <c r="E12" s="89"/>
      <c r="F12" s="106">
        <f>($B12*$B$7+$C12*$C$7)/100</f>
        <v>6.3694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0.54</v>
      </c>
      <c r="C13" s="114">
        <v>1.05</v>
      </c>
      <c r="D13" s="89"/>
      <c r="E13" s="89"/>
      <c r="F13" s="106">
        <f>($B13*$B$7+$C13*$C$7)/100</f>
        <v>0.5553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5</v>
      </c>
      <c r="M13" s="111"/>
      <c r="N13" s="120" t="s">
        <v>41</v>
      </c>
      <c r="O13" s="121">
        <f>COUNTIF(F23:F82,"&gt;0")</f>
        <v>12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11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>
        <v>0.03</v>
      </c>
      <c r="D15" s="89"/>
      <c r="E15" s="89"/>
      <c r="F15" s="106">
        <f>($B15*$B$7+$C15*$C$7)/100</f>
        <v>0.0009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2</v>
      </c>
      <c r="M15" s="111"/>
      <c r="N15" s="120" t="s">
        <v>47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6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5.56</v>
      </c>
      <c r="C17" s="114">
        <v>51.05</v>
      </c>
      <c r="D17" s="89"/>
      <c r="E17" s="89"/>
      <c r="F17" s="133"/>
      <c r="G17" s="134">
        <f>($B17*$B$7+$C17*$C$7)/100</f>
        <v>6.924699999999999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0.9166666666666666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0.03</v>
      </c>
      <c r="D18" s="89"/>
      <c r="E18" s="144" t="s">
        <v>54</v>
      </c>
      <c r="F18" s="133"/>
      <c r="G18" s="134">
        <f>($B18*$B$7+$C18*$C$7)/100</f>
        <v>0.0009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6.925599999999999</v>
      </c>
      <c r="G19" s="157">
        <f>SUM(G16:G18)</f>
        <v>6.925599999999998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5.559999999999999</v>
      </c>
      <c r="C20" s="167">
        <f>SUM(C23:C62)</f>
        <v>51.08</v>
      </c>
      <c r="D20" s="168"/>
      <c r="E20" s="169" t="s">
        <v>54</v>
      </c>
      <c r="F20" s="170">
        <f>($B20*$B$7+$C20*$C$7)/100</f>
        <v>6.925599999999998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5.393199999999998</v>
      </c>
      <c r="C21" s="178">
        <f>C20*C7/100</f>
        <v>1.5324</v>
      </c>
      <c r="D21" s="179" t="s">
        <v>58</v>
      </c>
      <c r="E21" s="180"/>
      <c r="F21" s="181">
        <f>B21+C21</f>
        <v>6.925599999999998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2.7</v>
      </c>
      <c r="C23" s="208">
        <v>40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3.8190000000000004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3.819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18</v>
      </c>
      <c r="U23" s="220">
        <f aca="true" t="shared" si="5" ref="U23:U82">IF(ISERROR(S23*J23*K23),0,S23*J23*K23)</f>
        <v>18</v>
      </c>
      <c r="V23" s="220">
        <f aca="true" t="shared" si="6" ref="V23:V82">IF(ISERROR(S23*K23),0,S23*K23)</f>
        <v>3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2</v>
      </c>
      <c r="C24" s="226">
        <v>10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Spirogyra sp.</v>
      </c>
      <c r="E24" s="228" t="e">
        <f>IF(D24="",,VLOOKUP(D24,D$22:D23,1,0))</f>
        <v>#N/A</v>
      </c>
      <c r="F24" s="229">
        <f t="shared" si="0"/>
        <v>2.24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Spirogyra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1147</v>
      </c>
      <c r="R24" s="219">
        <f t="shared" si="2"/>
        <v>2.2399999999999998</v>
      </c>
      <c r="S24" s="220">
        <f t="shared" si="3"/>
        <v>3</v>
      </c>
      <c r="T24" s="220">
        <f t="shared" si="4"/>
        <v>30</v>
      </c>
      <c r="U24" s="220">
        <f t="shared" si="5"/>
        <v>30</v>
      </c>
      <c r="V24" s="236">
        <f t="shared" si="6"/>
        <v>3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SPISPX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102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Stigeoclonium sp. (excep. S. tenue)</v>
      </c>
      <c r="E25" s="228" t="e">
        <f>IF(D25="",,VLOOKUP(D25,D$22:D24,1,0))</f>
        <v>#N/A</v>
      </c>
      <c r="F25" s="229">
        <f t="shared" si="0"/>
        <v>0.0097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Stigeoclonium sp. (excep. S. tenue)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1119</v>
      </c>
      <c r="R25" s="219">
        <f t="shared" si="2"/>
        <v>0.0097</v>
      </c>
      <c r="S25" s="220">
        <f t="shared" si="3"/>
        <v>1</v>
      </c>
      <c r="T25" s="220">
        <f t="shared" si="4"/>
        <v>13</v>
      </c>
      <c r="U25" s="220">
        <f t="shared" si="5"/>
        <v>26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STISPX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104</v>
      </c>
    </row>
    <row r="26" spans="1:26" ht="12.75">
      <c r="A26" s="224" t="s">
        <v>84</v>
      </c>
      <c r="B26" s="225">
        <v>0.31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Vaucheria sp.</v>
      </c>
      <c r="E26" s="228" t="e">
        <f>IF(D26="",,VLOOKUP(D26,D$22:D25,1,0))</f>
        <v>#N/A</v>
      </c>
      <c r="F26" s="229">
        <f t="shared" si="0"/>
        <v>0.3007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Vaucheria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1169</v>
      </c>
      <c r="R26" s="219">
        <f t="shared" si="2"/>
        <v>0.3007</v>
      </c>
      <c r="S26" s="220">
        <f t="shared" si="3"/>
        <v>2</v>
      </c>
      <c r="T26" s="220">
        <f t="shared" si="4"/>
        <v>8</v>
      </c>
      <c r="U26" s="220">
        <f t="shared" si="5"/>
        <v>8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VAUSPX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118</v>
      </c>
    </row>
    <row r="27" spans="1:26" ht="12.75">
      <c r="A27" s="224" t="s">
        <v>16</v>
      </c>
      <c r="B27" s="225">
        <v>0.5</v>
      </c>
      <c r="C27" s="226">
        <v>0.95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Cinclidotus riparius</v>
      </c>
      <c r="E27" s="228" t="e">
        <f>IF(D27="",,VLOOKUP(D27,D$22:D26,1,0))</f>
        <v>#N/A</v>
      </c>
      <c r="F27" s="229">
        <f t="shared" si="0"/>
        <v>0.5135000000000001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Cinclidotus riparius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1321</v>
      </c>
      <c r="R27" s="219">
        <f t="shared" si="2"/>
        <v>0.5135</v>
      </c>
      <c r="S27" s="220">
        <f t="shared" si="3"/>
        <v>2</v>
      </c>
      <c r="T27" s="220">
        <f t="shared" si="4"/>
        <v>26</v>
      </c>
      <c r="U27" s="220">
        <f t="shared" si="5"/>
        <v>52</v>
      </c>
      <c r="V27" s="236">
        <f t="shared" si="6"/>
        <v>4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CINRIP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224</v>
      </c>
    </row>
    <row r="28" spans="1:26" ht="12.75">
      <c r="A28" s="224" t="s">
        <v>85</v>
      </c>
      <c r="B28" s="225">
        <v>0.01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Fissidens crassipes</v>
      </c>
      <c r="E28" s="228" t="e">
        <f>IF(D28="",,VLOOKUP(D28,D$22:D27,1,0))</f>
        <v>#N/A</v>
      </c>
      <c r="F28" s="229">
        <f t="shared" si="0"/>
        <v>0.01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Fissidens crassipes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1294</v>
      </c>
      <c r="R28" s="219">
        <f t="shared" si="2"/>
        <v>0.01</v>
      </c>
      <c r="S28" s="220">
        <f t="shared" si="3"/>
        <v>1</v>
      </c>
      <c r="T28" s="220">
        <f t="shared" si="4"/>
        <v>12</v>
      </c>
      <c r="U28" s="220">
        <f t="shared" si="5"/>
        <v>24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FISCRA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255</v>
      </c>
    </row>
    <row r="29" spans="1:26" ht="12.75">
      <c r="A29" s="224" t="s">
        <v>86</v>
      </c>
      <c r="B29" s="225">
        <v>0.01</v>
      </c>
      <c r="C29" s="226">
        <v>0.03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Fontinalis antipyretica</v>
      </c>
      <c r="E29" s="228" t="e">
        <f>IF(D29="",,VLOOKUP(D29,D$22:D28,1,0))</f>
        <v>#N/A</v>
      </c>
      <c r="F29" s="229">
        <f t="shared" si="0"/>
        <v>0.0106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Fontinalis antipyretica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1310</v>
      </c>
      <c r="R29" s="219">
        <f t="shared" si="2"/>
        <v>0.0106</v>
      </c>
      <c r="S29" s="220">
        <f t="shared" si="3"/>
        <v>1</v>
      </c>
      <c r="T29" s="220">
        <f t="shared" si="4"/>
        <v>10</v>
      </c>
      <c r="U29" s="220">
        <f t="shared" si="5"/>
        <v>10</v>
      </c>
      <c r="V29" s="236">
        <f t="shared" si="6"/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FONANT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273</v>
      </c>
    </row>
    <row r="30" spans="1:26" ht="12.75">
      <c r="A30" s="224" t="s">
        <v>87</v>
      </c>
      <c r="B30" s="225">
        <v>0.01</v>
      </c>
      <c r="C30" s="226">
        <v>0.060000000000000005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Leptodictyum riparium </v>
      </c>
      <c r="E30" s="228" t="e">
        <f>IF(D30="",,VLOOKUP(D30,D$22:D29,1,0))</f>
        <v>#N/A</v>
      </c>
      <c r="F30" s="229">
        <f t="shared" si="0"/>
        <v>0.0115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5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Leptodictyum riparium 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1244</v>
      </c>
      <c r="R30" s="219">
        <f t="shared" si="2"/>
        <v>0.0115</v>
      </c>
      <c r="S30" s="220">
        <f t="shared" si="3"/>
        <v>1</v>
      </c>
      <c r="T30" s="220">
        <f t="shared" si="4"/>
        <v>5</v>
      </c>
      <c r="U30" s="220">
        <f t="shared" si="5"/>
        <v>10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LEORIP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298</v>
      </c>
    </row>
    <row r="31" spans="1:26" ht="12.75">
      <c r="A31" s="224" t="s">
        <v>88</v>
      </c>
      <c r="B31" s="225">
        <v>0.01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Rhynchostegium riparioides</v>
      </c>
      <c r="E31" s="228" t="e">
        <f>IF(D31="",,VLOOKUP(D31,D$22:D30,1,0))</f>
        <v>#N/A</v>
      </c>
      <c r="F31" s="229">
        <f t="shared" si="0"/>
        <v>0.0097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12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Rhynchostegium riparioides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31691</v>
      </c>
      <c r="R31" s="219">
        <f t="shared" si="2"/>
        <v>0.0097</v>
      </c>
      <c r="S31" s="220">
        <f t="shared" si="3"/>
        <v>1</v>
      </c>
      <c r="T31" s="220">
        <f t="shared" si="4"/>
        <v>12</v>
      </c>
      <c r="U31" s="220">
        <f t="shared" si="5"/>
        <v>12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RHYRIP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345</v>
      </c>
    </row>
    <row r="32" spans="1:26" ht="12.75">
      <c r="A32" s="224" t="s">
        <v>89</v>
      </c>
      <c r="B32" s="225">
        <v>0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Equisetum sp.</v>
      </c>
      <c r="E32" s="228" t="e">
        <f>IF(D32="",,VLOOKUP(D32,D$22:D31,1,0))</f>
        <v>#N/A</v>
      </c>
      <c r="F32" s="229">
        <f t="shared" si="0"/>
        <v>0.0003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PTE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6</v>
      </c>
      <c r="I32" s="5">
        <f t="shared" si="1"/>
        <v>1</v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nc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nc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Equisetum sp.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1383</v>
      </c>
      <c r="R32" s="219">
        <f t="shared" si="2"/>
        <v>0.0003</v>
      </c>
      <c r="S32" s="220">
        <f t="shared" si="3"/>
        <v>1</v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EQUSPX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391</v>
      </c>
    </row>
    <row r="33" spans="1:26" ht="12.75">
      <c r="A33" s="224" t="s">
        <v>90</v>
      </c>
      <c r="B33" s="225">
        <v>0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Phragmites australis</v>
      </c>
      <c r="E33" s="228" t="e">
        <f>IF(D33="",,VLOOKUP(D33,D$22:D32,1,0))</f>
        <v>#N/A</v>
      </c>
      <c r="F33" s="229">
        <f t="shared" si="0"/>
        <v>0.0003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PHe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8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9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Phragmites australis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1579</v>
      </c>
      <c r="R33" s="219">
        <f t="shared" si="2"/>
        <v>0.0003</v>
      </c>
      <c r="S33" s="220">
        <f t="shared" si="3"/>
        <v>1</v>
      </c>
      <c r="T33" s="220">
        <f t="shared" si="4"/>
        <v>9</v>
      </c>
      <c r="U33" s="220">
        <f t="shared" si="5"/>
        <v>18</v>
      </c>
      <c r="V33" s="236">
        <f t="shared" si="6"/>
        <v>2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PHRAUS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709</v>
      </c>
    </row>
    <row r="34" spans="1:26" ht="12.75">
      <c r="A34" s="224" t="s">
        <v>91</v>
      </c>
      <c r="B34" s="225">
        <v>0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Veronica anagallis-aquatica</v>
      </c>
      <c r="E34" s="228" t="e">
        <f>IF(D34="",,VLOOKUP(D34,D$22:D33,1,0))</f>
        <v>#N/A</v>
      </c>
      <c r="F34" s="229">
        <f t="shared" si="0"/>
        <v>0.0003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PHe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8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11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2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Veronica anagallis-aquatica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1955</v>
      </c>
      <c r="R34" s="219">
        <f t="shared" si="2"/>
        <v>0.0003</v>
      </c>
      <c r="S34" s="220">
        <f t="shared" si="3"/>
        <v>1</v>
      </c>
      <c r="T34" s="220">
        <f t="shared" si="4"/>
        <v>11</v>
      </c>
      <c r="U34" s="220">
        <f t="shared" si="5"/>
        <v>22</v>
      </c>
      <c r="V34" s="236">
        <f t="shared" si="6"/>
        <v>2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VERANA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740</v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6.925600000000001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24</v>
      </c>
      <c r="W83" s="220"/>
      <c r="X83" s="258"/>
      <c r="Y83" s="258"/>
      <c r="Z83" s="259"/>
    </row>
    <row r="84" spans="1:26" ht="12.75" hidden="1">
      <c r="A84" s="253" t="str">
        <f>A3</f>
        <v>DROME</v>
      </c>
      <c r="B84" s="187" t="str">
        <f>C3</f>
        <v>DROME A CHABRILLAN</v>
      </c>
      <c r="C84" s="260" t="str">
        <f>A4</f>
        <v>(Date)</v>
      </c>
      <c r="D84" s="261">
        <f>IF(OR(ISERROR(SUM($U$23:$U$82)/SUM($V$23:$V$82)),F7&lt;&gt;100),-1,SUM($U$23:$U$82)/SUM($V$23:$V$82))</f>
        <v>9.583333333333334</v>
      </c>
      <c r="E84" s="262">
        <f>O13</f>
        <v>12</v>
      </c>
      <c r="F84" s="187">
        <f>O14</f>
        <v>11</v>
      </c>
      <c r="G84" s="187">
        <f>O15</f>
        <v>5</v>
      </c>
      <c r="H84" s="187">
        <f>O16</f>
        <v>6</v>
      </c>
      <c r="I84" s="187">
        <f>O17</f>
        <v>0</v>
      </c>
      <c r="J84" s="263">
        <f>O8</f>
        <v>9.545454545454545</v>
      </c>
      <c r="K84" s="264">
        <f>O9</f>
        <v>3.0559520570857477</v>
      </c>
      <c r="L84" s="265">
        <f>O10</f>
        <v>4</v>
      </c>
      <c r="M84" s="265">
        <f>O11</f>
        <v>13</v>
      </c>
      <c r="N84" s="264">
        <f>P8</f>
        <v>1.5454545454545454</v>
      </c>
      <c r="O84" s="264">
        <f>P9</f>
        <v>0.4979295977319692</v>
      </c>
      <c r="P84" s="265">
        <f>P10</f>
        <v>1</v>
      </c>
      <c r="Q84" s="265">
        <f>P11</f>
        <v>2</v>
      </c>
      <c r="R84" s="265">
        <f>F21</f>
        <v>6.925599999999998</v>
      </c>
      <c r="S84" s="265">
        <f>L11</f>
        <v>0</v>
      </c>
      <c r="T84" s="265">
        <f>L12</f>
        <v>4</v>
      </c>
      <c r="U84" s="265">
        <f>L13</f>
        <v>5</v>
      </c>
      <c r="V84" s="266">
        <f>L15</f>
        <v>2</v>
      </c>
      <c r="W84" s="267">
        <f>L15</f>
        <v>2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92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93</v>
      </c>
      <c r="S87" s="5"/>
      <c r="T87" s="272">
        <f>VLOOKUP($T$91,($A$23:$U$82),20,FALSE)</f>
        <v>26</v>
      </c>
      <c r="U87" s="5"/>
      <c r="V87" s="5"/>
    </row>
    <row r="88" spans="3:22" ht="12.75" hidden="1">
      <c r="C88" s="269"/>
      <c r="D88" s="269"/>
      <c r="E88" s="269"/>
      <c r="R88" s="5" t="s">
        <v>94</v>
      </c>
      <c r="S88" s="5"/>
      <c r="T88" s="272">
        <f>VLOOKUP($T$91,($A$23:$U$82),21,FALSE)</f>
        <v>52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95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96</v>
      </c>
      <c r="S90" s="5" t="s">
        <v>10</v>
      </c>
      <c r="T90" s="273">
        <f>IF(OR(ISERROR(SUM($U$23:$U$82)/SUM($V$23:$V$82)),F7&lt;&gt;100),-1,(SUM($U$23:$U$82)-T88)/(SUM($V$23:$V$82)-T89))</f>
        <v>8.9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97</v>
      </c>
      <c r="S91" s="220"/>
      <c r="T91" s="220" t="str">
        <f>INDEX('[1]liste reference'!$A$6:$A$1174,$U$91)</f>
        <v>CINRIP</v>
      </c>
      <c r="U91" s="5">
        <f>IF(ISERROR(MATCH($T$93,'[1]liste reference'!$A$6:$A$1174,0)),MATCH($T$93,'[1]liste reference'!$B$6:$B$1174,0),(MATCH($T$93,'[1]liste reference'!$A$6:$A$1174,0)))</f>
        <v>224</v>
      </c>
      <c r="V91" s="274"/>
    </row>
    <row r="92" spans="3:21" ht="12.75" hidden="1">
      <c r="C92" s="269"/>
      <c r="D92" s="269"/>
      <c r="E92" s="269"/>
      <c r="R92" s="5" t="s">
        <v>98</v>
      </c>
      <c r="S92" s="5"/>
      <c r="T92" s="5">
        <f>MATCH(T89,$V$23:$V$82,0)</f>
        <v>5</v>
      </c>
      <c r="U92" s="5"/>
    </row>
    <row r="93" spans="3:21" ht="12.75" hidden="1">
      <c r="C93" s="269"/>
      <c r="D93" s="269"/>
      <c r="E93" s="269"/>
      <c r="R93" s="220" t="s">
        <v>99</v>
      </c>
      <c r="S93" s="5"/>
      <c r="T93" s="220" t="str">
        <f>INDEX($A$23:$A$82,$T$92)</f>
        <v>CINRIP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2016-03-01T10:03:56Z</dcterms:created>
  <dcterms:modified xsi:type="dcterms:W3CDTF">2016-03-01T10:04:16Z</dcterms:modified>
  <cp:category/>
  <cp:version/>
  <cp:contentType/>
  <cp:contentStatus/>
</cp:coreProperties>
</file>